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vincent/Desktop/"/>
    </mc:Choice>
  </mc:AlternateContent>
  <xr:revisionPtr revIDLastSave="0" documentId="13_ncr:1_{870C6804-CE66-CC40-82F2-9581B4203426}" xr6:coauthVersionLast="47" xr6:coauthVersionMax="47" xr10:uidLastSave="{00000000-0000-0000-0000-000000000000}"/>
  <bookViews>
    <workbookView xWindow="0" yWindow="740" windowWidth="29040" windowHeight="15840" tabRatio="377" activeTab="1" xr2:uid="{00000000-000D-0000-FFFF-FFFF00000000}"/>
  </bookViews>
  <sheets>
    <sheet name="Besoins" sheetId="1" r:id="rId1"/>
    <sheet name="TRMD" sheetId="6" r:id="rId2"/>
  </sheets>
  <definedNames>
    <definedName name="_xlnm.Print_Area" localSheetId="0">Besoins!$A$1:$R$29</definedName>
    <definedName name="_xlnm.Print_Area" localSheetId="1">TRMD!$A$1:$T$26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6" l="1"/>
  <c r="R28" i="1"/>
  <c r="C25" i="1"/>
  <c r="O25" i="1"/>
  <c r="O24" i="1"/>
  <c r="O22" i="1"/>
  <c r="O17" i="1"/>
  <c r="O15" i="1"/>
  <c r="O10" i="1"/>
  <c r="H26" i="1"/>
  <c r="D26" i="1"/>
  <c r="N10" i="1"/>
  <c r="P5" i="6"/>
  <c r="B1" i="6" l="1"/>
  <c r="D1" i="6" s="1"/>
  <c r="F1" i="6"/>
  <c r="B8" i="6"/>
  <c r="D8" i="6"/>
  <c r="H8" i="6"/>
  <c r="K8" i="6"/>
  <c r="Q26" i="1"/>
  <c r="B7" i="6"/>
  <c r="F23" i="6"/>
  <c r="R27" i="1"/>
  <c r="S27" i="1" s="1"/>
  <c r="D6" i="1"/>
  <c r="D7" i="1"/>
  <c r="D11" i="1"/>
  <c r="D12" i="1" s="1"/>
  <c r="D16" i="1"/>
  <c r="D17" i="1" s="1"/>
  <c r="D21" i="1"/>
  <c r="D22" i="1" s="1"/>
  <c r="E11" i="1"/>
  <c r="E16" i="1"/>
  <c r="E21" i="1"/>
  <c r="E22" i="1" s="1"/>
  <c r="F7" i="1"/>
  <c r="F11" i="1"/>
  <c r="F12" i="1" s="1"/>
  <c r="F16" i="1"/>
  <c r="F17" i="1" s="1"/>
  <c r="F21" i="1"/>
  <c r="F22" i="1" s="1"/>
  <c r="G6" i="1"/>
  <c r="G24" i="1" s="1"/>
  <c r="G11" i="1"/>
  <c r="G16" i="1"/>
  <c r="G17" i="1" s="1"/>
  <c r="G21" i="1"/>
  <c r="G22" i="1" s="1"/>
  <c r="H11" i="1"/>
  <c r="H12" i="1" s="1"/>
  <c r="H16" i="1"/>
  <c r="H21" i="1"/>
  <c r="H22" i="1" s="1"/>
  <c r="I24" i="1"/>
  <c r="I25" i="1"/>
  <c r="J6" i="1"/>
  <c r="J7" i="1" s="1"/>
  <c r="J11" i="1"/>
  <c r="J12" i="1" s="1"/>
  <c r="J16" i="1"/>
  <c r="J17" i="1" s="1"/>
  <c r="K11" i="1"/>
  <c r="K16" i="1"/>
  <c r="K17" i="1" s="1"/>
  <c r="L11" i="1"/>
  <c r="L12" i="1" s="1"/>
  <c r="L16" i="1"/>
  <c r="L17" i="1" s="1"/>
  <c r="M24" i="1"/>
  <c r="M29" i="1" s="1"/>
  <c r="C15" i="6" s="1"/>
  <c r="M25" i="1"/>
  <c r="N24" i="1"/>
  <c r="N25" i="1"/>
  <c r="P24" i="1"/>
  <c r="P25" i="1"/>
  <c r="Q6" i="1"/>
  <c r="Q11" i="1"/>
  <c r="Q12" i="1" s="1"/>
  <c r="Q16" i="1"/>
  <c r="Q17" i="1" s="1"/>
  <c r="Q21" i="1"/>
  <c r="N5" i="1"/>
  <c r="O5" i="1"/>
  <c r="P5" i="1"/>
  <c r="P15" i="1"/>
  <c r="O20" i="1"/>
  <c r="P20" i="1"/>
  <c r="R18" i="1"/>
  <c r="R13" i="1"/>
  <c r="R8" i="1"/>
  <c r="R6" i="1"/>
  <c r="J22" i="1"/>
  <c r="P22" i="1"/>
  <c r="P17" i="1"/>
  <c r="P12" i="1"/>
  <c r="P7" i="1"/>
  <c r="F16" i="6"/>
  <c r="F15" i="6"/>
  <c r="F12" i="6"/>
  <c r="G12" i="6" s="1"/>
  <c r="D5" i="1"/>
  <c r="O12" i="1"/>
  <c r="E5" i="1"/>
  <c r="M15" i="1"/>
  <c r="F17" i="6"/>
  <c r="P17" i="6" s="1"/>
  <c r="F18" i="6"/>
  <c r="F19" i="6"/>
  <c r="P19" i="6" s="1"/>
  <c r="F13" i="6"/>
  <c r="F14" i="6"/>
  <c r="F20" i="6"/>
  <c r="F21" i="6"/>
  <c r="F22" i="6"/>
  <c r="F24" i="6"/>
  <c r="F25" i="6"/>
  <c r="H7" i="1"/>
  <c r="K22" i="1"/>
  <c r="L22" i="1"/>
  <c r="Q22" i="1"/>
  <c r="F5" i="1"/>
  <c r="G5" i="1"/>
  <c r="H5" i="1"/>
  <c r="J5" i="1"/>
  <c r="K5" i="1"/>
  <c r="L5" i="1"/>
  <c r="M5" i="1"/>
  <c r="E26" i="6"/>
  <c r="D26" i="6"/>
  <c r="J20" i="1"/>
  <c r="K20" i="1"/>
  <c r="L20" i="1"/>
  <c r="E20" i="1"/>
  <c r="F20" i="1"/>
  <c r="G20" i="1"/>
  <c r="Q20" i="1"/>
  <c r="N20" i="1"/>
  <c r="M20" i="1"/>
  <c r="D20" i="1"/>
  <c r="H20" i="1"/>
  <c r="J15" i="1"/>
  <c r="K15" i="1"/>
  <c r="L15" i="1"/>
  <c r="E15" i="1"/>
  <c r="F15" i="1"/>
  <c r="G15" i="1"/>
  <c r="Q15" i="1"/>
  <c r="N15" i="1"/>
  <c r="D15" i="1"/>
  <c r="H15" i="1"/>
  <c r="J10" i="1"/>
  <c r="K10" i="1"/>
  <c r="L10" i="1"/>
  <c r="E10" i="1"/>
  <c r="F10" i="1"/>
  <c r="G10" i="1"/>
  <c r="Q10" i="1"/>
  <c r="M10" i="1"/>
  <c r="D10" i="1"/>
  <c r="H10" i="1"/>
  <c r="Q5" i="1"/>
  <c r="I15" i="1"/>
  <c r="I10" i="1"/>
  <c r="E7" i="1"/>
  <c r="I22" i="1"/>
  <c r="M22" i="1"/>
  <c r="N22" i="1"/>
  <c r="I17" i="1"/>
  <c r="M17" i="1"/>
  <c r="N17" i="1"/>
  <c r="I12" i="1"/>
  <c r="M12" i="1"/>
  <c r="N12" i="1"/>
  <c r="I7" i="1"/>
  <c r="K7" i="1"/>
  <c r="L7" i="1"/>
  <c r="M7" i="1"/>
  <c r="N7" i="1"/>
  <c r="O7" i="1"/>
  <c r="O26" i="6"/>
  <c r="N26" i="6"/>
  <c r="M26" i="6"/>
  <c r="L26" i="6"/>
  <c r="K26" i="6"/>
  <c r="J26" i="6"/>
  <c r="I26" i="6"/>
  <c r="H26" i="6"/>
  <c r="G12" i="1"/>
  <c r="E17" i="1"/>
  <c r="J24" i="1"/>
  <c r="G15" i="6" l="1"/>
  <c r="O29" i="1"/>
  <c r="C17" i="6" s="1"/>
  <c r="J25" i="1"/>
  <c r="J29" i="1" s="1"/>
  <c r="C23" i="6" s="1"/>
  <c r="F8" i="6"/>
  <c r="K24" i="1"/>
  <c r="K29" i="1" s="1"/>
  <c r="C24" i="6" s="1"/>
  <c r="G25" i="1"/>
  <c r="G29" i="1" s="1"/>
  <c r="C18" i="6" s="1"/>
  <c r="E24" i="1"/>
  <c r="Q24" i="1"/>
  <c r="Q7" i="1"/>
  <c r="Q25" i="1"/>
  <c r="G7" i="1"/>
  <c r="E25" i="1"/>
  <c r="H25" i="1"/>
  <c r="R22" i="1"/>
  <c r="I29" i="1"/>
  <c r="E12" i="1"/>
  <c r="L25" i="1"/>
  <c r="P12" i="6"/>
  <c r="Q12" i="6" s="1"/>
  <c r="P14" i="6"/>
  <c r="P18" i="6"/>
  <c r="P23" i="6"/>
  <c r="P21" i="6"/>
  <c r="P22" i="6"/>
  <c r="P13" i="6"/>
  <c r="P16" i="6"/>
  <c r="P25" i="6"/>
  <c r="D25" i="1"/>
  <c r="H17" i="1"/>
  <c r="R17" i="1" s="1"/>
  <c r="P29" i="1"/>
  <c r="C16" i="6" s="1"/>
  <c r="L24" i="1"/>
  <c r="H24" i="1"/>
  <c r="D24" i="1"/>
  <c r="F25" i="1"/>
  <c r="F24" i="1"/>
  <c r="F29" i="1" s="1"/>
  <c r="C22" i="6" s="1"/>
  <c r="K12" i="1"/>
  <c r="F26" i="6"/>
  <c r="P20" i="6"/>
  <c r="P24" i="6"/>
  <c r="P15" i="6"/>
  <c r="Q15" i="6" s="1"/>
  <c r="N29" i="1"/>
  <c r="C14" i="6" s="1"/>
  <c r="G16" i="6" l="1"/>
  <c r="Q16" i="6"/>
  <c r="Q23" i="6"/>
  <c r="G23" i="6"/>
  <c r="G24" i="6"/>
  <c r="Q24" i="6"/>
  <c r="S24" i="6" s="1"/>
  <c r="Q22" i="6"/>
  <c r="G22" i="6"/>
  <c r="G18" i="6"/>
  <c r="Q18" i="6"/>
  <c r="Q17" i="6"/>
  <c r="S17" i="6" s="1"/>
  <c r="G17" i="6"/>
  <c r="Q14" i="6"/>
  <c r="S14" i="6" s="1"/>
  <c r="G14" i="6"/>
  <c r="R7" i="1"/>
  <c r="R12" i="1"/>
  <c r="Q29" i="1"/>
  <c r="C25" i="6" s="1"/>
  <c r="H29" i="1"/>
  <c r="H30" i="1" s="1"/>
  <c r="C13" i="6" s="1"/>
  <c r="S23" i="6"/>
  <c r="E29" i="1"/>
  <c r="C21" i="6" s="1"/>
  <c r="R25" i="1"/>
  <c r="L29" i="1"/>
  <c r="C20" i="6" s="1"/>
  <c r="S22" i="6"/>
  <c r="D29" i="1"/>
  <c r="C19" i="6" s="1"/>
  <c r="S16" i="6"/>
  <c r="S15" i="6"/>
  <c r="S12" i="6"/>
  <c r="S18" i="6"/>
  <c r="P26" i="6"/>
  <c r="R24" i="1"/>
  <c r="G20" i="6" l="1"/>
  <c r="Q20" i="6"/>
  <c r="S20" i="6" s="1"/>
  <c r="G21" i="6"/>
  <c r="Q21" i="6"/>
  <c r="S21" i="6" s="1"/>
  <c r="G19" i="6"/>
  <c r="Q19" i="6"/>
  <c r="S19" i="6" s="1"/>
  <c r="G25" i="6"/>
  <c r="Q25" i="6"/>
  <c r="S25" i="6" s="1"/>
  <c r="G13" i="6"/>
  <c r="Q13" i="6"/>
  <c r="S13" i="6" s="1"/>
  <c r="S24" i="1"/>
  <c r="R29" i="1"/>
  <c r="C26" i="6"/>
  <c r="D4" i="6"/>
  <c r="G26" i="6" l="1"/>
  <c r="Q26" i="6"/>
  <c r="D6" i="6" s="1"/>
  <c r="S26" i="6" l="1"/>
  <c r="I5" i="6" s="1"/>
  <c r="I6" i="6" s="1"/>
  <c r="D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Vincent-Y. Absous</author>
  </authors>
  <commentList>
    <comment ref="I13" authorId="0" shapeId="0" xr:uid="{EF0FA468-77A2-44E3-B82D-23947619DF83}">
      <text>
        <r>
          <rPr>
            <b/>
            <sz val="9"/>
            <color rgb="FF000000"/>
            <rFont val="Tahoma"/>
            <family val="2"/>
          </rPr>
          <t>Vincent-Y. Absous: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TP de Mme C.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14" authorId="0" shapeId="0" xr:uid="{AEA5FD11-4B18-4B0F-BF14-34FC86ED18F5}">
      <text>
        <r>
          <rPr>
            <b/>
            <sz val="9"/>
            <color rgb="FF000000"/>
            <rFont val="Tahoma"/>
            <family val="2"/>
          </rPr>
          <t>Vincent-Y. Absous: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Allègement de service de Mme B
</t>
        </r>
      </text>
    </comment>
    <comment ref="I18" authorId="0" shapeId="0" xr:uid="{FAA133AE-A29E-40F6-A8DD-73135A57B31A}">
      <text>
        <r>
          <rPr>
            <b/>
            <sz val="9"/>
            <color rgb="FF000000"/>
            <rFont val="Tahoma"/>
            <family val="2"/>
          </rPr>
          <t>Vincent-Y. Absous: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TP de Mme A
</t>
        </r>
      </text>
    </comment>
    <comment ref="I19" authorId="0" shapeId="0" xr:uid="{652FA86E-9924-49DF-9C13-DB84A9396137}">
      <text>
        <r>
          <rPr>
            <b/>
            <sz val="9"/>
            <color rgb="FF000000"/>
            <rFont val="Tahoma"/>
            <family val="2"/>
          </rPr>
          <t>Vincent-Y. Absous: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TP Mme Z</t>
        </r>
      </text>
    </comment>
  </commentList>
</comments>
</file>

<file path=xl/sharedStrings.xml><?xml version="1.0" encoding="utf-8"?>
<sst xmlns="http://schemas.openxmlformats.org/spreadsheetml/2006/main" count="103" uniqueCount="87">
  <si>
    <t>SVT</t>
  </si>
  <si>
    <t>FR</t>
  </si>
  <si>
    <t>EFFECTIFS</t>
  </si>
  <si>
    <t>DIVISIONS</t>
  </si>
  <si>
    <t>AP</t>
  </si>
  <si>
    <t>EM</t>
  </si>
  <si>
    <t>TECH</t>
  </si>
  <si>
    <t>EPS</t>
  </si>
  <si>
    <t>Totaux</t>
  </si>
  <si>
    <t>DHG</t>
  </si>
  <si>
    <t>Consommation/discipline</t>
  </si>
  <si>
    <t>NB HEURES</t>
  </si>
  <si>
    <t>LAT</t>
  </si>
  <si>
    <t>6èmes</t>
  </si>
  <si>
    <t>5èmes</t>
  </si>
  <si>
    <t>4èmes</t>
  </si>
  <si>
    <t>3èmes</t>
  </si>
  <si>
    <t>Maths</t>
  </si>
  <si>
    <t>Phys</t>
  </si>
  <si>
    <t>H-G</t>
  </si>
  <si>
    <t>ALL</t>
  </si>
  <si>
    <t>ANG</t>
  </si>
  <si>
    <t>année scolaire :</t>
  </si>
  <si>
    <t>IMP :</t>
  </si>
  <si>
    <t>H.S.A. :</t>
  </si>
  <si>
    <t>DISCIPLINE</t>
  </si>
  <si>
    <t>Excédent résorbé</t>
  </si>
  <si>
    <t>Déficit résorbé</t>
  </si>
  <si>
    <t>suppres.</t>
  </si>
  <si>
    <t>TP</t>
  </si>
  <si>
    <t>Décharge</t>
  </si>
  <si>
    <t>CSD</t>
  </si>
  <si>
    <t>créations</t>
  </si>
  <si>
    <t>BMP</t>
  </si>
  <si>
    <t>CSR</t>
  </si>
  <si>
    <t>L0421 ALLEMAND</t>
  </si>
  <si>
    <t>L0422 ANGLAIS</t>
  </si>
  <si>
    <t>L0426 ESPAGNOL</t>
  </si>
  <si>
    <t>L1300 MATHEMATIQUES</t>
  </si>
  <si>
    <t>L1400 TECHNOLOGIE</t>
  </si>
  <si>
    <t>L1500 PHYSIQUE CHIMIE</t>
  </si>
  <si>
    <t>L1700 EDUCATION MUSICALE</t>
  </si>
  <si>
    <t>L1800 ARTS PLASTIQUES</t>
  </si>
  <si>
    <t>TOTAUX</t>
  </si>
  <si>
    <t>Moyens prov.</t>
  </si>
  <si>
    <t>Nb supports agrégés</t>
  </si>
  <si>
    <t>Nb supports certif,</t>
  </si>
  <si>
    <t>HP</t>
  </si>
  <si>
    <t>Prév. Élèves</t>
  </si>
  <si>
    <t>Dont autonomie</t>
  </si>
  <si>
    <t>dont auto.</t>
  </si>
  <si>
    <t>HSA prévues</t>
  </si>
  <si>
    <t>Nbre div.</t>
  </si>
  <si>
    <t>Moy. El/div</t>
  </si>
  <si>
    <t>solde DHG</t>
  </si>
  <si>
    <t>Heures enseignement</t>
  </si>
  <si>
    <t>L1900 EPS</t>
  </si>
  <si>
    <t>L1600 SVT</t>
  </si>
  <si>
    <t>L1000 HISTOIRE-GEOGRAPHIE</t>
  </si>
  <si>
    <t>Excédent/
déficit</t>
  </si>
  <si>
    <t>HSA utilisées</t>
  </si>
  <si>
    <t>Moy. El/div 6e</t>
  </si>
  <si>
    <t>Moy. El/div autres niveaux</t>
  </si>
  <si>
    <t>Solde IMP</t>
  </si>
  <si>
    <t>dont ULIS</t>
  </si>
  <si>
    <t>HP utilisées</t>
  </si>
  <si>
    <t>DHG hors ULIS</t>
  </si>
  <si>
    <t>ULIS</t>
  </si>
  <si>
    <t>ESP</t>
  </si>
  <si>
    <t>HSE possibles</t>
  </si>
  <si>
    <t>Total</t>
  </si>
  <si>
    <t>Solde</t>
  </si>
  <si>
    <t>IMP</t>
  </si>
  <si>
    <t>ITAL</t>
  </si>
  <si>
    <t>L0429 ITALIEN</t>
  </si>
  <si>
    <t>% HSA</t>
  </si>
  <si>
    <t>3e Prépa Métiers</t>
  </si>
  <si>
    <t>2023-2024</t>
  </si>
  <si>
    <t>L0201 &amp; L0202 LETTRES</t>
  </si>
  <si>
    <t>Heures apportées en HP</t>
  </si>
  <si>
    <r>
      <t xml:space="preserve">Besoins
</t>
    </r>
    <r>
      <rPr>
        <sz val="9"/>
        <color theme="0"/>
        <rFont val="Arial"/>
        <family val="2"/>
      </rPr>
      <t>en enseignement</t>
    </r>
  </si>
  <si>
    <t>Apport final prévu en HP</t>
  </si>
  <si>
    <t>Dotations statutaires</t>
  </si>
  <si>
    <t>Conso. Autonomie et autres dotations</t>
  </si>
  <si>
    <t>Autre conso.</t>
  </si>
  <si>
    <t>HORAIRES PLANCHER</t>
  </si>
  <si>
    <t>CONSO MARGE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</si>
</sst>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0.0"/>
    <numFmt numFmtId="166" formatCode="0.0%"/>
  </numFmts>
  <fonts count="37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22"/>
      <name val="Arial"/>
      <family val="2"/>
    </font>
    <font>
      <sz val="11"/>
      <color indexed="10"/>
      <name val="Arial"/>
      <family val="2"/>
    </font>
    <font>
      <b/>
      <sz val="8"/>
      <name val="Arial"/>
      <family val="2"/>
    </font>
    <font>
      <sz val="11"/>
      <color theme="0"/>
      <name val="Century Gothic"/>
      <family val="2"/>
      <scheme val="minor"/>
    </font>
    <font>
      <i/>
      <sz val="8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theme="0"/>
      <name val="Arial"/>
      <family val="2"/>
    </font>
    <font>
      <b/>
      <i/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entury Gothic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164" fontId="30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65" fontId="2" fillId="0" borderId="0" xfId="0" applyNumberFormat="1" applyFont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165" fontId="2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166" fontId="4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2" fontId="4" fillId="0" borderId="0" xfId="0" applyNumberFormat="1" applyFont="1"/>
    <xf numFmtId="0" fontId="2" fillId="7" borderId="2" xfId="0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11" borderId="3" xfId="0" applyFont="1" applyFill="1" applyBorder="1" applyAlignment="1">
      <alignment horizontal="center"/>
    </xf>
    <xf numFmtId="0" fontId="19" fillId="11" borderId="4" xfId="0" applyFont="1" applyFill="1" applyBorder="1"/>
    <xf numFmtId="2" fontId="22" fillId="12" borderId="1" xfId="0" applyNumberFormat="1" applyFont="1" applyFill="1" applyBorder="1" applyAlignment="1">
      <alignment horizontal="center" vertical="center"/>
    </xf>
    <xf numFmtId="2" fontId="22" fillId="12" borderId="16" xfId="0" applyNumberFormat="1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/>
    </xf>
    <xf numFmtId="0" fontId="23" fillId="12" borderId="2" xfId="0" applyFont="1" applyFill="1" applyBorder="1"/>
    <xf numFmtId="2" fontId="19" fillId="13" borderId="1" xfId="0" applyNumberFormat="1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1" fontId="6" fillId="10" borderId="1" xfId="0" applyNumberFormat="1" applyFont="1" applyFill="1" applyBorder="1" applyAlignment="1">
      <alignment horizontal="center" vertical="center"/>
    </xf>
    <xf numFmtId="1" fontId="22" fillId="12" borderId="1" xfId="0" applyNumberFormat="1" applyFont="1" applyFill="1" applyBorder="1" applyAlignment="1">
      <alignment horizontal="center" vertical="center"/>
    </xf>
    <xf numFmtId="1" fontId="26" fillId="12" borderId="1" xfId="0" applyNumberFormat="1" applyFont="1" applyFill="1" applyBorder="1" applyAlignment="1">
      <alignment horizontal="center" vertical="center"/>
    </xf>
    <xf numFmtId="1" fontId="6" fillId="10" borderId="4" xfId="0" applyNumberFormat="1" applyFont="1" applyFill="1" applyBorder="1" applyAlignment="1">
      <alignment horizontal="center" vertical="center"/>
    </xf>
    <xf numFmtId="0" fontId="28" fillId="13" borderId="16" xfId="0" applyFont="1" applyFill="1" applyBorder="1" applyAlignment="1">
      <alignment horizontal="center" vertical="center"/>
    </xf>
    <xf numFmtId="2" fontId="29" fillId="8" borderId="2" xfId="3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25" fillId="1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19" fillId="11" borderId="1" xfId="0" applyNumberFormat="1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2" fillId="12" borderId="28" xfId="0" applyNumberFormat="1" applyFont="1" applyFill="1" applyBorder="1" applyAlignment="1">
      <alignment horizontal="center" vertical="center"/>
    </xf>
    <xf numFmtId="2" fontId="22" fillId="12" borderId="17" xfId="0" applyNumberFormat="1" applyFont="1" applyFill="1" applyBorder="1" applyAlignment="1">
      <alignment horizontal="center" vertical="center"/>
    </xf>
    <xf numFmtId="2" fontId="22" fillId="12" borderId="1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2" fontId="22" fillId="12" borderId="4" xfId="0" applyNumberFormat="1" applyFont="1" applyFill="1" applyBorder="1" applyAlignment="1">
      <alignment horizontal="center" vertical="center"/>
    </xf>
    <xf numFmtId="1" fontId="22" fillId="12" borderId="4" xfId="0" applyNumberFormat="1" applyFont="1" applyFill="1" applyBorder="1" applyAlignment="1">
      <alignment horizontal="center" vertical="center"/>
    </xf>
    <xf numFmtId="1" fontId="26" fillId="12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2" fillId="12" borderId="23" xfId="0" applyNumberFormat="1" applyFont="1" applyFill="1" applyBorder="1" applyAlignment="1">
      <alignment horizontal="center" vertical="center"/>
    </xf>
    <xf numFmtId="164" fontId="4" fillId="0" borderId="0" xfId="7" applyFont="1"/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2" fontId="22" fillId="12" borderId="16" xfId="0" applyNumberFormat="1" applyFont="1" applyFill="1" applyBorder="1" applyAlignment="1">
      <alignment horizontal="right"/>
    </xf>
    <xf numFmtId="2" fontId="32" fillId="15" borderId="28" xfId="0" applyNumberFormat="1" applyFont="1" applyFill="1" applyBorder="1" applyAlignment="1">
      <alignment horizontal="center" vertical="center"/>
    </xf>
    <xf numFmtId="2" fontId="32" fillId="15" borderId="17" xfId="0" applyNumberFormat="1" applyFont="1" applyFill="1" applyBorder="1" applyAlignment="1">
      <alignment horizontal="center" vertical="center"/>
    </xf>
    <xf numFmtId="2" fontId="32" fillId="15" borderId="34" xfId="0" applyNumberFormat="1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vertical="center" wrapText="1"/>
    </xf>
    <xf numFmtId="2" fontId="19" fillId="11" borderId="4" xfId="0" applyNumberFormat="1" applyFont="1" applyFill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left"/>
    </xf>
    <xf numFmtId="2" fontId="2" fillId="5" borderId="2" xfId="0" applyNumberFormat="1" applyFont="1" applyFill="1" applyBorder="1" applyAlignment="1">
      <alignment horizontal="center"/>
    </xf>
    <xf numFmtId="0" fontId="28" fillId="13" borderId="2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2" fontId="23" fillId="13" borderId="17" xfId="0" applyNumberFormat="1" applyFont="1" applyFill="1" applyBorder="1" applyAlignment="1">
      <alignment horizontal="center" vertical="center"/>
    </xf>
    <xf numFmtId="0" fontId="28" fillId="13" borderId="18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23" fillId="12" borderId="35" xfId="0" applyFont="1" applyFill="1" applyBorder="1" applyAlignment="1">
      <alignment horizontal="center"/>
    </xf>
    <xf numFmtId="0" fontId="23" fillId="12" borderId="3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3" fillId="12" borderId="2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/>
    </xf>
    <xf numFmtId="0" fontId="21" fillId="12" borderId="3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24" fillId="12" borderId="31" xfId="0" applyFont="1" applyFill="1" applyBorder="1" applyAlignment="1">
      <alignment horizontal="center" vertical="center" wrapText="1"/>
    </xf>
    <xf numFmtId="0" fontId="24" fillId="12" borderId="17" xfId="0" applyFont="1" applyFill="1" applyBorder="1" applyAlignment="1">
      <alignment horizontal="center" vertical="center" wrapText="1"/>
    </xf>
    <xf numFmtId="2" fontId="22" fillId="12" borderId="33" xfId="0" applyNumberFormat="1" applyFont="1" applyFill="1" applyBorder="1" applyAlignment="1">
      <alignment horizontal="center" vertical="center"/>
    </xf>
    <xf numFmtId="2" fontId="22" fillId="12" borderId="23" xfId="0" applyNumberFormat="1" applyFont="1" applyFill="1" applyBorder="1" applyAlignment="1">
      <alignment horizontal="center" vertical="center"/>
    </xf>
    <xf numFmtId="0" fontId="0" fillId="0" borderId="0" xfId="0"/>
    <xf numFmtId="0" fontId="31" fillId="0" borderId="21" xfId="0" applyFont="1" applyBorder="1" applyAlignment="1">
      <alignment horizontal="right"/>
    </xf>
    <xf numFmtId="0" fontId="31" fillId="0" borderId="22" xfId="0" applyFont="1" applyBorder="1" applyAlignment="1">
      <alignment horizontal="right"/>
    </xf>
    <xf numFmtId="0" fontId="31" fillId="0" borderId="23" xfId="0" applyFont="1" applyBorder="1" applyAlignment="1">
      <alignment horizontal="right"/>
    </xf>
    <xf numFmtId="2" fontId="32" fillId="15" borderId="34" xfId="0" applyNumberFormat="1" applyFont="1" applyFill="1" applyBorder="1" applyAlignment="1">
      <alignment horizontal="center" vertical="center"/>
    </xf>
    <xf numFmtId="2" fontId="32" fillId="15" borderId="24" xfId="0" applyNumberFormat="1" applyFont="1" applyFill="1" applyBorder="1" applyAlignment="1">
      <alignment horizontal="center" vertical="center"/>
    </xf>
    <xf numFmtId="165" fontId="22" fillId="12" borderId="6" xfId="0" applyNumberFormat="1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/>
    </xf>
    <xf numFmtId="0" fontId="20" fillId="11" borderId="20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 vertical="center" wrapText="1"/>
    </xf>
    <xf numFmtId="0" fontId="21" fillId="12" borderId="32" xfId="0" applyFont="1" applyFill="1" applyBorder="1" applyAlignment="1">
      <alignment horizontal="center" vertical="center" wrapText="1"/>
    </xf>
    <xf numFmtId="164" fontId="21" fillId="12" borderId="9" xfId="7" applyFont="1" applyFill="1" applyBorder="1" applyAlignment="1">
      <alignment horizontal="center" vertical="center" wrapText="1"/>
    </xf>
    <xf numFmtId="164" fontId="21" fillId="12" borderId="7" xfId="7" applyFont="1" applyFill="1" applyBorder="1" applyAlignment="1">
      <alignment horizontal="center" vertical="center" wrapText="1"/>
    </xf>
    <xf numFmtId="0" fontId="21" fillId="12" borderId="34" xfId="0" applyFont="1" applyFill="1" applyBorder="1" applyAlignment="1">
      <alignment horizontal="right" vertical="center" wrapText="1"/>
    </xf>
    <xf numFmtId="0" fontId="21" fillId="12" borderId="24" xfId="0" applyFont="1" applyFill="1" applyBorder="1" applyAlignment="1">
      <alignment horizontal="right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27" fillId="10" borderId="27" xfId="0" applyFont="1" applyFill="1" applyBorder="1" applyAlignment="1">
      <alignment horizontal="center" vertical="center" wrapText="1"/>
    </xf>
    <xf numFmtId="0" fontId="27" fillId="10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3" fillId="9" borderId="9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27" fillId="10" borderId="33" xfId="0" applyFont="1" applyFill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 wrapText="1"/>
    </xf>
    <xf numFmtId="0" fontId="27" fillId="10" borderId="28" xfId="0" applyFont="1" applyFill="1" applyBorder="1" applyAlignment="1">
      <alignment horizontal="center" vertical="center"/>
    </xf>
    <xf numFmtId="0" fontId="27" fillId="10" borderId="28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3" fillId="9" borderId="30" xfId="0" applyFont="1" applyFill="1" applyBorder="1" applyAlignment="1">
      <alignment horizontal="left" vertical="center" wrapText="1"/>
    </xf>
    <xf numFmtId="0" fontId="23" fillId="9" borderId="1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2" fillId="10" borderId="25" xfId="0" applyFont="1" applyFill="1" applyBorder="1" applyAlignment="1">
      <alignment horizontal="center" vertical="center"/>
    </xf>
    <xf numFmtId="0" fontId="22" fillId="10" borderId="26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/>
    </xf>
    <xf numFmtId="2" fontId="19" fillId="10" borderId="27" xfId="0" applyNumberFormat="1" applyFont="1" applyFill="1" applyBorder="1" applyAlignment="1">
      <alignment horizontal="center" vertical="center" wrapText="1"/>
    </xf>
    <xf numFmtId="2" fontId="19" fillId="10" borderId="24" xfId="0" applyNumberFormat="1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/>
    </xf>
  </cellXfs>
  <cellStyles count="8">
    <cellStyle name="Accent6" xfId="3" builtinId="49"/>
    <cellStyle name="Lien hypertexte" xfId="1" builtinId="8" hidden="1"/>
    <cellStyle name="Lien hypertexte" xfId="4" builtinId="8" hidden="1"/>
    <cellStyle name="Lien hypertexte visité" xfId="2" builtinId="9" hidden="1"/>
    <cellStyle name="Lien hypertexte visité" xfId="5" builtinId="9" hidden="1"/>
    <cellStyle name="Milliers" xfId="7" builtinId="3"/>
    <cellStyle name="Normal" xfId="0" builtinId="0"/>
    <cellStyle name="Normal 2" xfId="6" xr:uid="{00000000-0005-0000-0000-000006000000}"/>
  </cellStyles>
  <dxfs count="8"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lle d’ions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Salle d’ions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alle d’ions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U36"/>
  <sheetViews>
    <sheetView showGridLines="0" zoomScale="115" zoomScaleNormal="115" zoomScaleSheetLayoutView="81" workbookViewId="0">
      <selection activeCell="P17" sqref="P17"/>
    </sheetView>
  </sheetViews>
  <sheetFormatPr baseColWidth="10" defaultColWidth="10.6640625" defaultRowHeight="13" x14ac:dyDescent="0.15"/>
  <cols>
    <col min="1" max="1" width="9.6640625" customWidth="1"/>
    <col min="2" max="2" width="12" customWidth="1"/>
    <col min="3" max="3" width="7" customWidth="1"/>
    <col min="4" max="4" width="7.5" customWidth="1"/>
    <col min="5" max="6" width="6.5" customWidth="1"/>
    <col min="7" max="7" width="7.5" customWidth="1"/>
    <col min="8" max="8" width="7.83203125" customWidth="1"/>
    <col min="9" max="9" width="6.5" customWidth="1"/>
    <col min="10" max="10" width="8" customWidth="1"/>
    <col min="11" max="13" width="6.5" customWidth="1"/>
    <col min="14" max="14" width="8.1640625" customWidth="1"/>
    <col min="15" max="17" width="6.5" customWidth="1"/>
    <col min="18" max="18" width="7.6640625" customWidth="1"/>
    <col min="19" max="19" width="7" customWidth="1"/>
  </cols>
  <sheetData>
    <row r="1" spans="1:18" ht="15" thickBot="1" x14ac:dyDescent="0.2">
      <c r="A1" s="49" t="s">
        <v>9</v>
      </c>
      <c r="B1" s="103">
        <v>860</v>
      </c>
      <c r="C1" s="104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6"/>
    </row>
    <row r="2" spans="1:18" ht="15" thickBot="1" x14ac:dyDescent="0.2">
      <c r="A2" s="107" t="s">
        <v>49</v>
      </c>
      <c r="B2" s="107"/>
      <c r="C2" s="50">
        <v>72</v>
      </c>
      <c r="D2" s="37" t="s">
        <v>17</v>
      </c>
      <c r="E2" s="38" t="s">
        <v>18</v>
      </c>
      <c r="F2" s="38" t="s">
        <v>0</v>
      </c>
      <c r="G2" s="38" t="s">
        <v>19</v>
      </c>
      <c r="H2" s="38" t="s">
        <v>1</v>
      </c>
      <c r="I2" s="38" t="s">
        <v>12</v>
      </c>
      <c r="J2" s="38" t="s">
        <v>5</v>
      </c>
      <c r="K2" s="38" t="s">
        <v>4</v>
      </c>
      <c r="L2" s="38" t="s">
        <v>6</v>
      </c>
      <c r="M2" s="38" t="s">
        <v>21</v>
      </c>
      <c r="N2" s="38" t="s">
        <v>20</v>
      </c>
      <c r="O2" s="38" t="s">
        <v>68</v>
      </c>
      <c r="P2" s="39" t="s">
        <v>73</v>
      </c>
      <c r="Q2" s="39" t="s">
        <v>7</v>
      </c>
      <c r="R2" s="40" t="s">
        <v>8</v>
      </c>
    </row>
    <row r="3" spans="1:18" ht="14" x14ac:dyDescent="0.15">
      <c r="A3" s="108" t="s">
        <v>13</v>
      </c>
      <c r="B3" s="128" t="s">
        <v>85</v>
      </c>
      <c r="C3" s="129"/>
      <c r="D3" s="17">
        <v>5</v>
      </c>
      <c r="E3" s="32">
        <v>3</v>
      </c>
      <c r="F3" s="32">
        <v>3</v>
      </c>
      <c r="G3" s="32">
        <v>3</v>
      </c>
      <c r="H3" s="32">
        <v>5</v>
      </c>
      <c r="I3" s="47"/>
      <c r="J3" s="32">
        <v>1</v>
      </c>
      <c r="K3" s="32">
        <v>1</v>
      </c>
      <c r="L3" s="32">
        <v>0</v>
      </c>
      <c r="M3" s="32">
        <v>4</v>
      </c>
      <c r="N3" s="78"/>
      <c r="O3" s="47"/>
      <c r="P3" s="75"/>
      <c r="Q3" s="41">
        <v>4</v>
      </c>
      <c r="R3" s="81"/>
    </row>
    <row r="4" spans="1:18" ht="14" x14ac:dyDescent="0.15">
      <c r="A4" s="108"/>
      <c r="B4" s="130" t="s">
        <v>86</v>
      </c>
      <c r="C4" s="131"/>
      <c r="D4" s="17">
        <v>0.5</v>
      </c>
      <c r="E4" s="17"/>
      <c r="F4" s="17"/>
      <c r="G4" s="17"/>
      <c r="H4" s="17">
        <v>0.5</v>
      </c>
      <c r="I4" s="47"/>
      <c r="J4" s="17"/>
      <c r="K4" s="17"/>
      <c r="L4" s="17"/>
      <c r="M4" s="17"/>
      <c r="N4" s="78">
        <v>2</v>
      </c>
      <c r="O4" s="47"/>
      <c r="P4" s="75"/>
      <c r="Q4" s="42"/>
      <c r="R4" s="82"/>
    </row>
    <row r="5" spans="1:18" ht="14" x14ac:dyDescent="0.15">
      <c r="A5" s="108"/>
      <c r="B5" s="45" t="s">
        <v>2</v>
      </c>
      <c r="C5" s="46">
        <v>125</v>
      </c>
      <c r="D5" s="66">
        <f>SUM(D3:D4)</f>
        <v>5.5</v>
      </c>
      <c r="E5" s="66">
        <f t="shared" ref="E5:Q5" si="0">SUM(E3:E4)</f>
        <v>3</v>
      </c>
      <c r="F5" s="66">
        <f t="shared" si="0"/>
        <v>3</v>
      </c>
      <c r="G5" s="66">
        <f t="shared" si="0"/>
        <v>3</v>
      </c>
      <c r="H5" s="66">
        <f t="shared" si="0"/>
        <v>5.5</v>
      </c>
      <c r="I5" s="67"/>
      <c r="J5" s="66">
        <f t="shared" si="0"/>
        <v>1</v>
      </c>
      <c r="K5" s="66">
        <f t="shared" si="0"/>
        <v>1</v>
      </c>
      <c r="L5" s="66">
        <f t="shared" si="0"/>
        <v>0</v>
      </c>
      <c r="M5" s="66">
        <f t="shared" si="0"/>
        <v>4</v>
      </c>
      <c r="N5" s="66">
        <f t="shared" si="0"/>
        <v>2</v>
      </c>
      <c r="O5" s="66">
        <f t="shared" si="0"/>
        <v>0</v>
      </c>
      <c r="P5" s="66">
        <f t="shared" si="0"/>
        <v>0</v>
      </c>
      <c r="Q5" s="66">
        <f t="shared" si="0"/>
        <v>4</v>
      </c>
      <c r="R5" s="82"/>
    </row>
    <row r="6" spans="1:18" ht="14" x14ac:dyDescent="0.15">
      <c r="A6" s="108"/>
      <c r="B6" s="45" t="s">
        <v>3</v>
      </c>
      <c r="C6" s="46">
        <v>5</v>
      </c>
      <c r="D6" s="54">
        <f>$C$6</f>
        <v>5</v>
      </c>
      <c r="E6" s="54">
        <v>1</v>
      </c>
      <c r="F6" s="54">
        <v>4</v>
      </c>
      <c r="G6" s="54">
        <f>$C$6</f>
        <v>5</v>
      </c>
      <c r="H6" s="54">
        <v>5</v>
      </c>
      <c r="I6" s="55"/>
      <c r="J6" s="54">
        <f>$C$6</f>
        <v>5</v>
      </c>
      <c r="K6" s="54">
        <v>5</v>
      </c>
      <c r="L6" s="54">
        <v>5</v>
      </c>
      <c r="M6" s="56">
        <v>5</v>
      </c>
      <c r="N6" s="55">
        <v>1</v>
      </c>
      <c r="O6" s="55"/>
      <c r="P6" s="76"/>
      <c r="Q6" s="57">
        <f>$C$6</f>
        <v>5</v>
      </c>
      <c r="R6" s="83">
        <f>26*C6</f>
        <v>130</v>
      </c>
    </row>
    <row r="7" spans="1:18" ht="14" thickBot="1" x14ac:dyDescent="0.2">
      <c r="A7" s="109"/>
      <c r="B7" s="111" t="s">
        <v>11</v>
      </c>
      <c r="C7" s="112"/>
      <c r="D7" s="47">
        <f>(D3*D6)+(D4*D6)</f>
        <v>27.5</v>
      </c>
      <c r="E7" s="47">
        <f>(E3*E6)+(E4*E6)</f>
        <v>3</v>
      </c>
      <c r="F7" s="47">
        <f t="shared" ref="F7:Q7" si="1">(F3*F6)+(F4*F6)</f>
        <v>12</v>
      </c>
      <c r="G7" s="47">
        <f t="shared" si="1"/>
        <v>15</v>
      </c>
      <c r="H7" s="47">
        <f t="shared" si="1"/>
        <v>27.5</v>
      </c>
      <c r="I7" s="47">
        <f t="shared" si="1"/>
        <v>0</v>
      </c>
      <c r="J7" s="47">
        <f t="shared" si="1"/>
        <v>5</v>
      </c>
      <c r="K7" s="47">
        <f t="shared" si="1"/>
        <v>5</v>
      </c>
      <c r="L7" s="47">
        <f t="shared" si="1"/>
        <v>0</v>
      </c>
      <c r="M7" s="47">
        <f t="shared" si="1"/>
        <v>20</v>
      </c>
      <c r="N7" s="47">
        <f t="shared" si="1"/>
        <v>2</v>
      </c>
      <c r="O7" s="47">
        <f t="shared" si="1"/>
        <v>0</v>
      </c>
      <c r="P7" s="47">
        <f t="shared" si="1"/>
        <v>0</v>
      </c>
      <c r="Q7" s="47">
        <f t="shared" si="1"/>
        <v>20</v>
      </c>
      <c r="R7" s="48">
        <f>SUM(D7:Q7)</f>
        <v>137</v>
      </c>
    </row>
    <row r="8" spans="1:18" ht="14" x14ac:dyDescent="0.15">
      <c r="A8" s="110" t="s">
        <v>14</v>
      </c>
      <c r="B8" s="130" t="s">
        <v>85</v>
      </c>
      <c r="C8" s="131"/>
      <c r="D8" s="32">
        <v>3.5</v>
      </c>
      <c r="E8" s="32">
        <v>1.5</v>
      </c>
      <c r="F8" s="32">
        <v>1.5</v>
      </c>
      <c r="G8" s="32">
        <v>3</v>
      </c>
      <c r="H8" s="32">
        <v>4.5</v>
      </c>
      <c r="I8" s="32"/>
      <c r="J8" s="32">
        <v>1</v>
      </c>
      <c r="K8" s="32">
        <v>1</v>
      </c>
      <c r="L8" s="32">
        <v>1.5</v>
      </c>
      <c r="M8" s="32">
        <v>3</v>
      </c>
      <c r="N8" s="32">
        <v>2.5</v>
      </c>
      <c r="O8" s="32">
        <v>0</v>
      </c>
      <c r="P8" s="41">
        <v>2.5</v>
      </c>
      <c r="Q8" s="41">
        <v>3</v>
      </c>
      <c r="R8" s="119">
        <f>26*C11</f>
        <v>130</v>
      </c>
    </row>
    <row r="9" spans="1:18" ht="14" x14ac:dyDescent="0.15">
      <c r="A9" s="108"/>
      <c r="B9" s="130" t="s">
        <v>86</v>
      </c>
      <c r="C9" s="131"/>
      <c r="D9" s="17">
        <v>0.5</v>
      </c>
      <c r="E9" s="17">
        <v>0.5</v>
      </c>
      <c r="F9" s="17">
        <v>0.5</v>
      </c>
      <c r="G9" s="17"/>
      <c r="H9" s="17">
        <v>0.5</v>
      </c>
      <c r="I9" s="17">
        <v>2</v>
      </c>
      <c r="J9" s="17"/>
      <c r="K9" s="17"/>
      <c r="L9" s="17">
        <v>0.5</v>
      </c>
      <c r="M9" s="17"/>
      <c r="N9" s="17"/>
      <c r="O9" s="17">
        <v>2.5</v>
      </c>
      <c r="P9" s="42"/>
      <c r="Q9" s="42"/>
      <c r="R9" s="120"/>
    </row>
    <row r="10" spans="1:18" ht="14" x14ac:dyDescent="0.15">
      <c r="A10" s="108"/>
      <c r="B10" s="45" t="s">
        <v>2</v>
      </c>
      <c r="C10" s="46">
        <v>121</v>
      </c>
      <c r="D10" s="66">
        <f>SUM(D8:D9)</f>
        <v>4</v>
      </c>
      <c r="E10" s="66">
        <f t="shared" ref="E10:Q10" si="2">SUM(E8:E9)</f>
        <v>2</v>
      </c>
      <c r="F10" s="66">
        <f t="shared" si="2"/>
        <v>2</v>
      </c>
      <c r="G10" s="66">
        <f t="shared" si="2"/>
        <v>3</v>
      </c>
      <c r="H10" s="66">
        <f t="shared" si="2"/>
        <v>5</v>
      </c>
      <c r="I10" s="67">
        <f t="shared" si="2"/>
        <v>2</v>
      </c>
      <c r="J10" s="66">
        <f t="shared" si="2"/>
        <v>1</v>
      </c>
      <c r="K10" s="66">
        <f t="shared" si="2"/>
        <v>1</v>
      </c>
      <c r="L10" s="66">
        <f t="shared" si="2"/>
        <v>2</v>
      </c>
      <c r="M10" s="66">
        <f t="shared" si="2"/>
        <v>3</v>
      </c>
      <c r="N10" s="67">
        <f>SUM(N8:N9)</f>
        <v>2.5</v>
      </c>
      <c r="O10" s="67">
        <f>SUM(O8:O9)</f>
        <v>2.5</v>
      </c>
      <c r="P10" s="67"/>
      <c r="Q10" s="66">
        <f t="shared" si="2"/>
        <v>3</v>
      </c>
      <c r="R10" s="120"/>
    </row>
    <row r="11" spans="1:18" ht="14" x14ac:dyDescent="0.15">
      <c r="A11" s="108"/>
      <c r="B11" s="45" t="s">
        <v>3</v>
      </c>
      <c r="C11" s="46">
        <v>5</v>
      </c>
      <c r="D11" s="54">
        <f>$C$11</f>
        <v>5</v>
      </c>
      <c r="E11" s="54">
        <f>$C$11</f>
        <v>5</v>
      </c>
      <c r="F11" s="54">
        <f>$C$11</f>
        <v>5</v>
      </c>
      <c r="G11" s="54">
        <f>$C$11</f>
        <v>5</v>
      </c>
      <c r="H11" s="54">
        <f>$C$11</f>
        <v>5</v>
      </c>
      <c r="I11" s="56">
        <v>1</v>
      </c>
      <c r="J11" s="54">
        <f>$C$11</f>
        <v>5</v>
      </c>
      <c r="K11" s="54">
        <f>$C$11</f>
        <v>5</v>
      </c>
      <c r="L11" s="54">
        <f>$C$11</f>
        <v>5</v>
      </c>
      <c r="M11" s="56">
        <v>5</v>
      </c>
      <c r="N11" s="56">
        <v>2</v>
      </c>
      <c r="O11" s="56">
        <v>1</v>
      </c>
      <c r="P11" s="77">
        <v>3</v>
      </c>
      <c r="Q11" s="57">
        <f>$C$11</f>
        <v>5</v>
      </c>
      <c r="R11" s="121"/>
    </row>
    <row r="12" spans="1:18" ht="14" thickBot="1" x14ac:dyDescent="0.2">
      <c r="A12" s="109"/>
      <c r="B12" s="111" t="s">
        <v>11</v>
      </c>
      <c r="C12" s="112"/>
      <c r="D12" s="47">
        <f>(D8*D11)+(D9*D11)</f>
        <v>20</v>
      </c>
      <c r="E12" s="47">
        <f t="shared" ref="E12:Q12" si="3">(E8*E11)+(E9*E11)</f>
        <v>10</v>
      </c>
      <c r="F12" s="47">
        <f t="shared" si="3"/>
        <v>10</v>
      </c>
      <c r="G12" s="47">
        <f t="shared" si="3"/>
        <v>15</v>
      </c>
      <c r="H12" s="47">
        <f t="shared" si="3"/>
        <v>25</v>
      </c>
      <c r="I12" s="47">
        <f t="shared" si="3"/>
        <v>2</v>
      </c>
      <c r="J12" s="47">
        <f t="shared" si="3"/>
        <v>5</v>
      </c>
      <c r="K12" s="47">
        <f t="shared" si="3"/>
        <v>5</v>
      </c>
      <c r="L12" s="47">
        <f t="shared" si="3"/>
        <v>10</v>
      </c>
      <c r="M12" s="47">
        <f t="shared" si="3"/>
        <v>15</v>
      </c>
      <c r="N12" s="47">
        <f t="shared" si="3"/>
        <v>5</v>
      </c>
      <c r="O12" s="47">
        <f>(O11*O8)+O9</f>
        <v>2.5</v>
      </c>
      <c r="P12" s="47">
        <f>(P11*P8)+P9</f>
        <v>7.5</v>
      </c>
      <c r="Q12" s="47">
        <f t="shared" si="3"/>
        <v>15</v>
      </c>
      <c r="R12" s="84">
        <f>SUM(D12:Q12)</f>
        <v>147</v>
      </c>
    </row>
    <row r="13" spans="1:18" ht="14" x14ac:dyDescent="0.15">
      <c r="A13" s="110" t="s">
        <v>15</v>
      </c>
      <c r="B13" s="130" t="s">
        <v>85</v>
      </c>
      <c r="C13" s="131"/>
      <c r="D13" s="32">
        <v>3.5</v>
      </c>
      <c r="E13" s="32">
        <v>1.5</v>
      </c>
      <c r="F13" s="32">
        <v>1.5</v>
      </c>
      <c r="G13" s="32">
        <v>3</v>
      </c>
      <c r="H13" s="32">
        <v>4.5</v>
      </c>
      <c r="I13" s="32"/>
      <c r="J13" s="32">
        <v>1</v>
      </c>
      <c r="K13" s="32">
        <v>1</v>
      </c>
      <c r="L13" s="32">
        <v>1.5</v>
      </c>
      <c r="M13" s="32">
        <v>3</v>
      </c>
      <c r="N13" s="32">
        <v>2.5</v>
      </c>
      <c r="O13" s="32">
        <v>0</v>
      </c>
      <c r="P13" s="41">
        <v>2.5</v>
      </c>
      <c r="Q13" s="41">
        <v>3</v>
      </c>
      <c r="R13" s="119">
        <f>26*C16</f>
        <v>182</v>
      </c>
    </row>
    <row r="14" spans="1:18" ht="14" x14ac:dyDescent="0.15">
      <c r="A14" s="108"/>
      <c r="B14" s="130" t="s">
        <v>86</v>
      </c>
      <c r="C14" s="131"/>
      <c r="D14" s="17">
        <v>0.5</v>
      </c>
      <c r="E14" s="17">
        <v>0.5</v>
      </c>
      <c r="F14" s="17">
        <v>0.5</v>
      </c>
      <c r="G14" s="17">
        <v>0.5</v>
      </c>
      <c r="H14" s="17">
        <v>0.5</v>
      </c>
      <c r="I14" s="17">
        <v>2</v>
      </c>
      <c r="J14" s="17"/>
      <c r="K14" s="17"/>
      <c r="L14" s="17">
        <v>0.5</v>
      </c>
      <c r="M14" s="17"/>
      <c r="N14" s="17"/>
      <c r="O14" s="17">
        <v>2.5</v>
      </c>
      <c r="P14" s="42"/>
      <c r="Q14" s="42"/>
      <c r="R14" s="120"/>
    </row>
    <row r="15" spans="1:18" ht="14" x14ac:dyDescent="0.15">
      <c r="A15" s="108"/>
      <c r="B15" s="45" t="s">
        <v>2</v>
      </c>
      <c r="C15" s="46">
        <v>168</v>
      </c>
      <c r="D15" s="66">
        <f>SUM(D13:D14)</f>
        <v>4</v>
      </c>
      <c r="E15" s="66">
        <f t="shared" ref="E15:Q15" si="4">SUM(E13:E14)</f>
        <v>2</v>
      </c>
      <c r="F15" s="66">
        <f t="shared" si="4"/>
        <v>2</v>
      </c>
      <c r="G15" s="66">
        <f t="shared" si="4"/>
        <v>3.5</v>
      </c>
      <c r="H15" s="66">
        <f t="shared" si="4"/>
        <v>5</v>
      </c>
      <c r="I15" s="67">
        <f t="shared" si="4"/>
        <v>2</v>
      </c>
      <c r="J15" s="66">
        <f t="shared" si="4"/>
        <v>1</v>
      </c>
      <c r="K15" s="66">
        <f t="shared" si="4"/>
        <v>1</v>
      </c>
      <c r="L15" s="66">
        <f t="shared" si="4"/>
        <v>2</v>
      </c>
      <c r="M15" s="66">
        <f t="shared" si="4"/>
        <v>3</v>
      </c>
      <c r="N15" s="67">
        <f t="shared" si="4"/>
        <v>2.5</v>
      </c>
      <c r="O15" s="67">
        <f t="shared" si="4"/>
        <v>2.5</v>
      </c>
      <c r="P15" s="67">
        <f t="shared" si="4"/>
        <v>2.5</v>
      </c>
      <c r="Q15" s="66">
        <f t="shared" si="4"/>
        <v>3</v>
      </c>
      <c r="R15" s="120"/>
    </row>
    <row r="16" spans="1:18" ht="14" x14ac:dyDescent="0.15">
      <c r="A16" s="108"/>
      <c r="B16" s="45" t="s">
        <v>3</v>
      </c>
      <c r="C16" s="46">
        <v>7</v>
      </c>
      <c r="D16" s="54">
        <f>$C$16</f>
        <v>7</v>
      </c>
      <c r="E16" s="54">
        <f>$C$16</f>
        <v>7</v>
      </c>
      <c r="F16" s="54">
        <f>$C$16</f>
        <v>7</v>
      </c>
      <c r="G16" s="54">
        <f>$C$16</f>
        <v>7</v>
      </c>
      <c r="H16" s="54">
        <f>$C$16</f>
        <v>7</v>
      </c>
      <c r="I16" s="56">
        <v>1</v>
      </c>
      <c r="J16" s="54">
        <f>$C$16</f>
        <v>7</v>
      </c>
      <c r="K16" s="54">
        <f>$C$16</f>
        <v>7</v>
      </c>
      <c r="L16" s="54">
        <f>$C$16</f>
        <v>7</v>
      </c>
      <c r="M16" s="56">
        <v>7</v>
      </c>
      <c r="N16" s="56">
        <v>2</v>
      </c>
      <c r="O16" s="56">
        <v>2</v>
      </c>
      <c r="P16" s="77">
        <v>4</v>
      </c>
      <c r="Q16" s="57">
        <f>$C$16</f>
        <v>7</v>
      </c>
      <c r="R16" s="121"/>
    </row>
    <row r="17" spans="1:21" ht="14" thickBot="1" x14ac:dyDescent="0.2">
      <c r="A17" s="109"/>
      <c r="B17" s="111" t="s">
        <v>11</v>
      </c>
      <c r="C17" s="112"/>
      <c r="D17" s="47">
        <f>(D13*D16)+(D14*D16)</f>
        <v>28</v>
      </c>
      <c r="E17" s="47">
        <f t="shared" ref="E17:Q17" si="5">(E13*E16)+(E14*E16)</f>
        <v>14</v>
      </c>
      <c r="F17" s="47">
        <f t="shared" si="5"/>
        <v>14</v>
      </c>
      <c r="G17" s="47">
        <f t="shared" si="5"/>
        <v>24.5</v>
      </c>
      <c r="H17" s="47">
        <f t="shared" si="5"/>
        <v>35</v>
      </c>
      <c r="I17" s="47">
        <f t="shared" si="5"/>
        <v>2</v>
      </c>
      <c r="J17" s="47">
        <f t="shared" si="5"/>
        <v>7</v>
      </c>
      <c r="K17" s="47">
        <f t="shared" si="5"/>
        <v>7</v>
      </c>
      <c r="L17" s="47">
        <f t="shared" si="5"/>
        <v>14</v>
      </c>
      <c r="M17" s="47">
        <f t="shared" si="5"/>
        <v>21</v>
      </c>
      <c r="N17" s="47">
        <f t="shared" si="5"/>
        <v>5</v>
      </c>
      <c r="O17" s="47">
        <f t="shared" si="5"/>
        <v>5</v>
      </c>
      <c r="P17" s="47">
        <f>(P16*P13)+P14</f>
        <v>10</v>
      </c>
      <c r="Q17" s="47">
        <f t="shared" si="5"/>
        <v>21</v>
      </c>
      <c r="R17" s="48">
        <f>SUM(D17:Q17)</f>
        <v>207.5</v>
      </c>
    </row>
    <row r="18" spans="1:21" ht="14.25" customHeight="1" x14ac:dyDescent="0.15">
      <c r="A18" s="110" t="s">
        <v>16</v>
      </c>
      <c r="B18" s="130" t="s">
        <v>85</v>
      </c>
      <c r="C18" s="131"/>
      <c r="D18" s="32">
        <v>3.5</v>
      </c>
      <c r="E18" s="32">
        <v>1.5</v>
      </c>
      <c r="F18" s="32">
        <v>1.5</v>
      </c>
      <c r="G18" s="32">
        <v>3.5</v>
      </c>
      <c r="H18" s="32">
        <v>4</v>
      </c>
      <c r="I18" s="32"/>
      <c r="J18" s="32">
        <v>1</v>
      </c>
      <c r="K18" s="32">
        <v>1</v>
      </c>
      <c r="L18" s="32">
        <v>1.5</v>
      </c>
      <c r="M18" s="32">
        <v>3</v>
      </c>
      <c r="N18" s="32">
        <v>2.5</v>
      </c>
      <c r="O18" s="32">
        <v>0</v>
      </c>
      <c r="P18" s="41">
        <v>2.5</v>
      </c>
      <c r="Q18" s="41">
        <v>3</v>
      </c>
      <c r="R18" s="119">
        <f>26*C21</f>
        <v>182</v>
      </c>
    </row>
    <row r="19" spans="1:21" ht="14.25" customHeight="1" x14ac:dyDescent="0.15">
      <c r="A19" s="108"/>
      <c r="B19" s="130" t="s">
        <v>86</v>
      </c>
      <c r="C19" s="131"/>
      <c r="D19" s="17">
        <v>0.5</v>
      </c>
      <c r="E19" s="17">
        <v>0.5</v>
      </c>
      <c r="F19" s="17">
        <v>0.5</v>
      </c>
      <c r="G19" s="17">
        <v>0.5</v>
      </c>
      <c r="H19" s="17">
        <v>0.5</v>
      </c>
      <c r="I19" s="17">
        <v>2</v>
      </c>
      <c r="J19" s="17"/>
      <c r="K19" s="17"/>
      <c r="L19" s="17">
        <v>0.5</v>
      </c>
      <c r="M19" s="17"/>
      <c r="N19" s="17"/>
      <c r="O19" s="17">
        <v>2.5</v>
      </c>
      <c r="P19" s="42"/>
      <c r="Q19" s="42"/>
      <c r="R19" s="120"/>
    </row>
    <row r="20" spans="1:21" ht="15" customHeight="1" x14ac:dyDescent="0.15">
      <c r="A20" s="108"/>
      <c r="B20" s="45" t="s">
        <v>2</v>
      </c>
      <c r="C20" s="46">
        <v>166</v>
      </c>
      <c r="D20" s="66">
        <f>SUM(D18:D19)</f>
        <v>4</v>
      </c>
      <c r="E20" s="66">
        <f t="shared" ref="E20:Q20" si="6">SUM(E18:E19)</f>
        <v>2</v>
      </c>
      <c r="F20" s="66">
        <f t="shared" si="6"/>
        <v>2</v>
      </c>
      <c r="G20" s="66">
        <f t="shared" si="6"/>
        <v>4</v>
      </c>
      <c r="H20" s="66">
        <f t="shared" si="6"/>
        <v>4.5</v>
      </c>
      <c r="I20" s="67">
        <v>2</v>
      </c>
      <c r="J20" s="66">
        <f t="shared" si="6"/>
        <v>1</v>
      </c>
      <c r="K20" s="66">
        <f t="shared" si="6"/>
        <v>1</v>
      </c>
      <c r="L20" s="66">
        <f t="shared" si="6"/>
        <v>2</v>
      </c>
      <c r="M20" s="66">
        <f t="shared" si="6"/>
        <v>3</v>
      </c>
      <c r="N20" s="67">
        <f t="shared" si="6"/>
        <v>2.5</v>
      </c>
      <c r="O20" s="67">
        <f t="shared" si="6"/>
        <v>2.5</v>
      </c>
      <c r="P20" s="67">
        <f t="shared" si="6"/>
        <v>2.5</v>
      </c>
      <c r="Q20" s="66">
        <f t="shared" si="6"/>
        <v>3</v>
      </c>
      <c r="R20" s="120"/>
    </row>
    <row r="21" spans="1:21" ht="15" customHeight="1" x14ac:dyDescent="0.15">
      <c r="A21" s="108"/>
      <c r="B21" s="45" t="s">
        <v>3</v>
      </c>
      <c r="C21" s="46">
        <v>7</v>
      </c>
      <c r="D21" s="54">
        <f>$C$21</f>
        <v>7</v>
      </c>
      <c r="E21" s="54">
        <f>$C$21</f>
        <v>7</v>
      </c>
      <c r="F21" s="54">
        <f>$C$21</f>
        <v>7</v>
      </c>
      <c r="G21" s="54">
        <f>$C$21</f>
        <v>7</v>
      </c>
      <c r="H21" s="54">
        <f>$C$21</f>
        <v>7</v>
      </c>
      <c r="I21" s="56">
        <v>1</v>
      </c>
      <c r="J21" s="54">
        <v>7</v>
      </c>
      <c r="K21" s="54">
        <v>7</v>
      </c>
      <c r="L21" s="54">
        <v>7</v>
      </c>
      <c r="M21" s="56">
        <v>7</v>
      </c>
      <c r="N21" s="56">
        <v>3</v>
      </c>
      <c r="O21" s="56">
        <v>2</v>
      </c>
      <c r="P21" s="77">
        <v>4</v>
      </c>
      <c r="Q21" s="57">
        <f>$C$21</f>
        <v>7</v>
      </c>
      <c r="R21" s="121"/>
    </row>
    <row r="22" spans="1:21" ht="14" thickBot="1" x14ac:dyDescent="0.2">
      <c r="A22" s="109"/>
      <c r="B22" s="111" t="s">
        <v>11</v>
      </c>
      <c r="C22" s="112"/>
      <c r="D22" s="47">
        <f>(D18*D21)+(D19*D21)</f>
        <v>28</v>
      </c>
      <c r="E22" s="47">
        <f t="shared" ref="E22:Q22" si="7">(E18*E21)+(E19*E21)</f>
        <v>14</v>
      </c>
      <c r="F22" s="47">
        <f t="shared" si="7"/>
        <v>14</v>
      </c>
      <c r="G22" s="47">
        <f t="shared" si="7"/>
        <v>28</v>
      </c>
      <c r="H22" s="47">
        <f t="shared" si="7"/>
        <v>31.5</v>
      </c>
      <c r="I22" s="47">
        <f t="shared" si="7"/>
        <v>2</v>
      </c>
      <c r="J22" s="47">
        <f t="shared" si="7"/>
        <v>7</v>
      </c>
      <c r="K22" s="47">
        <f t="shared" si="7"/>
        <v>7</v>
      </c>
      <c r="L22" s="47">
        <f t="shared" si="7"/>
        <v>14</v>
      </c>
      <c r="M22" s="47">
        <f t="shared" si="7"/>
        <v>21</v>
      </c>
      <c r="N22" s="47">
        <f t="shared" si="7"/>
        <v>7.5</v>
      </c>
      <c r="O22" s="47">
        <f t="shared" si="7"/>
        <v>5</v>
      </c>
      <c r="P22" s="47">
        <f>(P21*P18)+P19</f>
        <v>10</v>
      </c>
      <c r="Q22" s="47">
        <f t="shared" si="7"/>
        <v>21</v>
      </c>
      <c r="R22" s="48">
        <f t="shared" ref="R22:R29" si="8">SUM(D22:Q22)</f>
        <v>210</v>
      </c>
    </row>
    <row r="23" spans="1:21" ht="14" thickBot="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</row>
    <row r="24" spans="1:21" ht="18" customHeight="1" x14ac:dyDescent="0.15">
      <c r="A24" s="132" t="s">
        <v>55</v>
      </c>
      <c r="B24" s="133"/>
      <c r="C24" s="88">
        <v>650</v>
      </c>
      <c r="D24" s="71">
        <f t="shared" ref="D24:Q24" si="9">(D3*D6)+(D8*D11)+(D13*D16)+(D18*D21)</f>
        <v>91.5</v>
      </c>
      <c r="E24" s="71">
        <f t="shared" si="9"/>
        <v>31.5</v>
      </c>
      <c r="F24" s="71">
        <f t="shared" si="9"/>
        <v>40.5</v>
      </c>
      <c r="G24" s="71">
        <f t="shared" si="9"/>
        <v>75.5</v>
      </c>
      <c r="H24" s="71">
        <f t="shared" si="9"/>
        <v>107</v>
      </c>
      <c r="I24" s="71">
        <f t="shared" si="9"/>
        <v>0</v>
      </c>
      <c r="J24" s="71">
        <f t="shared" si="9"/>
        <v>24</v>
      </c>
      <c r="K24" s="71">
        <f t="shared" si="9"/>
        <v>24</v>
      </c>
      <c r="L24" s="71">
        <f t="shared" si="9"/>
        <v>28.5</v>
      </c>
      <c r="M24" s="71">
        <f t="shared" si="9"/>
        <v>77</v>
      </c>
      <c r="N24" s="71">
        <f t="shared" si="9"/>
        <v>17.5</v>
      </c>
      <c r="O24" s="71">
        <f t="shared" si="9"/>
        <v>0</v>
      </c>
      <c r="P24" s="71">
        <f t="shared" si="9"/>
        <v>27.5</v>
      </c>
      <c r="Q24" s="71">
        <f t="shared" si="9"/>
        <v>77</v>
      </c>
      <c r="R24" s="85">
        <f>SUM(D24:Q24)</f>
        <v>621.5</v>
      </c>
      <c r="S24" s="116">
        <f>R24+R25</f>
        <v>728</v>
      </c>
    </row>
    <row r="25" spans="1:21" ht="21" customHeight="1" x14ac:dyDescent="0.15">
      <c r="A25" s="134" t="s">
        <v>83</v>
      </c>
      <c r="B25" s="135"/>
      <c r="C25" s="136">
        <f>34+12+72</f>
        <v>118</v>
      </c>
      <c r="D25" s="47">
        <f t="shared" ref="D25:Q25" si="10">(D4*D6)+(D9*D11)+(D14*D16)+(D19*D21)</f>
        <v>12</v>
      </c>
      <c r="E25" s="47">
        <f t="shared" si="10"/>
        <v>9.5</v>
      </c>
      <c r="F25" s="47">
        <f t="shared" si="10"/>
        <v>9.5</v>
      </c>
      <c r="G25" s="47">
        <f t="shared" si="10"/>
        <v>7</v>
      </c>
      <c r="H25" s="47">
        <f t="shared" si="10"/>
        <v>12</v>
      </c>
      <c r="I25" s="47">
        <f t="shared" si="10"/>
        <v>6</v>
      </c>
      <c r="J25" s="47">
        <f t="shared" si="10"/>
        <v>0</v>
      </c>
      <c r="K25" s="47">
        <v>0</v>
      </c>
      <c r="L25" s="47">
        <f t="shared" si="10"/>
        <v>9.5</v>
      </c>
      <c r="M25" s="47">
        <f t="shared" si="10"/>
        <v>0</v>
      </c>
      <c r="N25" s="47">
        <f t="shared" si="10"/>
        <v>2</v>
      </c>
      <c r="O25" s="47">
        <f t="shared" si="10"/>
        <v>12.5</v>
      </c>
      <c r="P25" s="47">
        <f>P9+P14+P19</f>
        <v>0</v>
      </c>
      <c r="Q25" s="47">
        <f t="shared" si="10"/>
        <v>0</v>
      </c>
      <c r="R25" s="122">
        <f>SUM(D25:Q26)</f>
        <v>106.5</v>
      </c>
      <c r="S25" s="117"/>
      <c r="U25" s="2"/>
    </row>
    <row r="26" spans="1:21" ht="21" customHeight="1" x14ac:dyDescent="0.15">
      <c r="A26" s="126" t="s">
        <v>84</v>
      </c>
      <c r="B26" s="127"/>
      <c r="C26" s="137"/>
      <c r="D26" s="47">
        <f>-0.5+1.5</f>
        <v>1</v>
      </c>
      <c r="E26" s="47"/>
      <c r="F26" s="47">
        <v>1</v>
      </c>
      <c r="G26" s="47">
        <v>0.5</v>
      </c>
      <c r="H26" s="47">
        <f>1+1.5+12</f>
        <v>14.5</v>
      </c>
      <c r="I26" s="47"/>
      <c r="J26" s="47">
        <v>2</v>
      </c>
      <c r="K26" s="47"/>
      <c r="L26" s="47"/>
      <c r="M26" s="47">
        <v>2.5</v>
      </c>
      <c r="N26" s="47"/>
      <c r="O26" s="47"/>
      <c r="P26" s="47"/>
      <c r="Q26" s="47">
        <f>7-2</f>
        <v>5</v>
      </c>
      <c r="R26" s="123"/>
      <c r="S26" s="79"/>
      <c r="U26" s="2"/>
    </row>
    <row r="27" spans="1:21" ht="21" customHeight="1" x14ac:dyDescent="0.15">
      <c r="A27" s="126" t="s">
        <v>76</v>
      </c>
      <c r="B27" s="127"/>
      <c r="C27" s="89">
        <v>32</v>
      </c>
      <c r="D27" s="47">
        <v>5.5</v>
      </c>
      <c r="E27" s="47">
        <v>1</v>
      </c>
      <c r="F27" s="47">
        <v>1</v>
      </c>
      <c r="G27" s="47">
        <v>3.5</v>
      </c>
      <c r="H27" s="47">
        <v>8</v>
      </c>
      <c r="I27" s="47"/>
      <c r="J27" s="47">
        <v>0.5</v>
      </c>
      <c r="K27" s="47">
        <v>0.5</v>
      </c>
      <c r="L27" s="47">
        <v>1</v>
      </c>
      <c r="M27" s="47">
        <v>3</v>
      </c>
      <c r="N27" s="47">
        <v>2.5</v>
      </c>
      <c r="O27" s="47"/>
      <c r="P27" s="47">
        <v>2.5</v>
      </c>
      <c r="Q27" s="47">
        <v>3</v>
      </c>
      <c r="R27" s="87">
        <f>SUM(D27:Q27)</f>
        <v>32</v>
      </c>
      <c r="S27" s="79">
        <f>C27-R27</f>
        <v>0</v>
      </c>
      <c r="U27" s="2"/>
    </row>
    <row r="28" spans="1:21" ht="21" customHeight="1" x14ac:dyDescent="0.15">
      <c r="A28" s="126" t="s">
        <v>82</v>
      </c>
      <c r="B28" s="138"/>
      <c r="C28" s="89">
        <v>23</v>
      </c>
      <c r="D28" s="47"/>
      <c r="E28" s="47">
        <v>2</v>
      </c>
      <c r="F28" s="47">
        <v>3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>
        <v>15</v>
      </c>
      <c r="R28" s="87">
        <f>SUM(D28:Q28)</f>
        <v>20</v>
      </c>
      <c r="S28" s="79"/>
      <c r="U28" s="2"/>
    </row>
    <row r="29" spans="1:21" ht="18" customHeight="1" thickBot="1" x14ac:dyDescent="0.2">
      <c r="A29" s="114" t="s">
        <v>10</v>
      </c>
      <c r="B29" s="115"/>
      <c r="C29" s="115"/>
      <c r="D29" s="72">
        <f t="shared" ref="D29:Q29" si="11">SUM(D24:D28)</f>
        <v>110</v>
      </c>
      <c r="E29" s="72">
        <f t="shared" si="11"/>
        <v>44</v>
      </c>
      <c r="F29" s="72">
        <f t="shared" si="11"/>
        <v>55</v>
      </c>
      <c r="G29" s="72">
        <f t="shared" si="11"/>
        <v>86.5</v>
      </c>
      <c r="H29" s="72">
        <f t="shared" si="11"/>
        <v>141.5</v>
      </c>
      <c r="I29" s="72">
        <f t="shared" si="11"/>
        <v>6</v>
      </c>
      <c r="J29" s="72">
        <f t="shared" si="11"/>
        <v>26.5</v>
      </c>
      <c r="K29" s="72">
        <f t="shared" si="11"/>
        <v>24.5</v>
      </c>
      <c r="L29" s="72">
        <f t="shared" si="11"/>
        <v>39</v>
      </c>
      <c r="M29" s="72">
        <f t="shared" si="11"/>
        <v>82.5</v>
      </c>
      <c r="N29" s="72">
        <f t="shared" si="11"/>
        <v>22</v>
      </c>
      <c r="O29" s="72">
        <f t="shared" si="11"/>
        <v>12.5</v>
      </c>
      <c r="P29" s="72">
        <f t="shared" si="11"/>
        <v>30</v>
      </c>
      <c r="Q29" s="72">
        <f t="shared" si="11"/>
        <v>100</v>
      </c>
      <c r="R29" s="86">
        <f t="shared" si="8"/>
        <v>780</v>
      </c>
      <c r="S29" s="73"/>
    </row>
    <row r="30" spans="1:21" x14ac:dyDescent="0.15">
      <c r="A30" s="43"/>
      <c r="B30" s="43"/>
      <c r="C30" s="43"/>
      <c r="D30" s="43"/>
      <c r="E30" s="43"/>
      <c r="F30" s="43"/>
      <c r="G30" s="43"/>
      <c r="H30" s="124">
        <f>H29+I29</f>
        <v>147.5</v>
      </c>
      <c r="I30" s="125"/>
      <c r="J30" s="43"/>
      <c r="K30" s="43"/>
      <c r="L30" s="33"/>
      <c r="M30" s="43"/>
      <c r="N30" s="27"/>
      <c r="O30" s="27"/>
      <c r="P30" s="27"/>
      <c r="Q30" s="44"/>
      <c r="R30" s="44"/>
      <c r="S30" s="44"/>
    </row>
    <row r="31" spans="1:21" s="36" customFormat="1" ht="21" customHeight="1" x14ac:dyDescent="0.15">
      <c r="A31" s="68"/>
      <c r="B31" s="68"/>
      <c r="C31" s="68"/>
      <c r="D31" s="4"/>
      <c r="E31" s="4"/>
      <c r="F31" s="4"/>
      <c r="G31" s="4"/>
      <c r="H31" s="113"/>
      <c r="I31" s="113"/>
      <c r="J31" s="4"/>
      <c r="K31" s="4"/>
      <c r="L31" s="5"/>
      <c r="M31" s="5"/>
      <c r="N31" s="4"/>
      <c r="O31" s="4"/>
      <c r="P31" s="4"/>
      <c r="Q31" s="5"/>
      <c r="R31" s="6"/>
      <c r="S31"/>
    </row>
    <row r="32" spans="1:21" ht="14" x14ac:dyDescent="0.15">
      <c r="A32" s="68"/>
      <c r="B32" s="68"/>
      <c r="C32" s="68"/>
      <c r="D32" s="4"/>
      <c r="E32" s="4"/>
      <c r="F32" s="4"/>
      <c r="G32" s="4"/>
      <c r="H32" s="5"/>
      <c r="I32" s="5"/>
      <c r="J32" s="4"/>
      <c r="K32" s="4"/>
      <c r="L32" s="5"/>
      <c r="M32" s="5"/>
      <c r="N32" s="4"/>
      <c r="O32" s="4"/>
      <c r="P32" s="4"/>
      <c r="Q32" s="5"/>
      <c r="R32" s="6"/>
    </row>
    <row r="33" spans="1:18" ht="14" x14ac:dyDescent="0.15">
      <c r="A33" s="68"/>
      <c r="B33" s="68"/>
      <c r="C33" s="68"/>
      <c r="D33" s="4"/>
      <c r="E33" s="4"/>
      <c r="F33" s="4"/>
      <c r="G33" s="4"/>
      <c r="H33" s="5"/>
      <c r="I33" s="5"/>
      <c r="J33" s="4"/>
      <c r="K33" s="4"/>
      <c r="L33" s="5"/>
      <c r="M33" s="5"/>
      <c r="N33" s="5"/>
      <c r="O33" s="4"/>
      <c r="P33" s="4"/>
      <c r="Q33" s="5"/>
      <c r="R33" s="6"/>
    </row>
    <row r="34" spans="1:18" ht="14" x14ac:dyDescent="0.15">
      <c r="A34" s="68"/>
      <c r="B34" s="68"/>
      <c r="C34" s="68"/>
      <c r="D34" s="4"/>
      <c r="E34" s="4"/>
      <c r="F34" s="4"/>
      <c r="G34" s="4"/>
      <c r="H34" s="113"/>
      <c r="I34" s="113"/>
      <c r="J34" s="4"/>
      <c r="K34" s="4"/>
      <c r="L34" s="5"/>
      <c r="M34" s="5"/>
      <c r="N34" s="4"/>
      <c r="O34" s="4"/>
      <c r="P34" s="4"/>
      <c r="Q34" s="5"/>
      <c r="R34" s="6"/>
    </row>
    <row r="35" spans="1:18" ht="14" x14ac:dyDescent="0.15">
      <c r="A35" s="68"/>
      <c r="B35" s="68"/>
      <c r="C35" s="68"/>
      <c r="D35" s="4"/>
      <c r="E35" s="4"/>
      <c r="F35" s="4"/>
      <c r="G35" s="4"/>
      <c r="H35" s="113"/>
      <c r="I35" s="113"/>
      <c r="J35" s="4"/>
      <c r="K35" s="4"/>
      <c r="L35" s="5"/>
      <c r="M35" s="5"/>
      <c r="N35" s="4"/>
      <c r="O35" s="4"/>
      <c r="P35" s="4"/>
      <c r="Q35" s="5"/>
      <c r="R35" s="6"/>
    </row>
    <row r="36" spans="1:18" x14ac:dyDescent="0.15">
      <c r="A36" s="1"/>
      <c r="B36" s="1"/>
      <c r="C36" s="1"/>
      <c r="D36" s="6"/>
      <c r="E36" s="6"/>
      <c r="F36" s="6"/>
      <c r="G36" s="6"/>
      <c r="H36" s="102"/>
      <c r="I36" s="102"/>
      <c r="J36" s="6"/>
      <c r="K36" s="6"/>
      <c r="L36" s="3"/>
      <c r="M36" s="3"/>
      <c r="N36" s="3"/>
      <c r="O36" s="6"/>
      <c r="P36" s="6"/>
      <c r="Q36" s="6"/>
      <c r="R36" s="6"/>
    </row>
  </sheetData>
  <mergeCells count="37">
    <mergeCell ref="H30:I30"/>
    <mergeCell ref="A27:B27"/>
    <mergeCell ref="B3:C3"/>
    <mergeCell ref="B4:C4"/>
    <mergeCell ref="B8:C8"/>
    <mergeCell ref="B9:C9"/>
    <mergeCell ref="B13:C13"/>
    <mergeCell ref="B14:C14"/>
    <mergeCell ref="B18:C18"/>
    <mergeCell ref="B19:C19"/>
    <mergeCell ref="A24:B24"/>
    <mergeCell ref="A25:B25"/>
    <mergeCell ref="A26:B26"/>
    <mergeCell ref="C25:C26"/>
    <mergeCell ref="A28:B28"/>
    <mergeCell ref="S24:S25"/>
    <mergeCell ref="A23:R23"/>
    <mergeCell ref="R8:R11"/>
    <mergeCell ref="R13:R16"/>
    <mergeCell ref="R18:R21"/>
    <mergeCell ref="R25:R26"/>
    <mergeCell ref="H36:I36"/>
    <mergeCell ref="B1:C1"/>
    <mergeCell ref="D1:R1"/>
    <mergeCell ref="A2:B2"/>
    <mergeCell ref="A3:A7"/>
    <mergeCell ref="A8:A12"/>
    <mergeCell ref="B7:C7"/>
    <mergeCell ref="B12:C12"/>
    <mergeCell ref="H34:I34"/>
    <mergeCell ref="H31:I31"/>
    <mergeCell ref="B17:C17"/>
    <mergeCell ref="B22:C22"/>
    <mergeCell ref="A13:A17"/>
    <mergeCell ref="A18:A22"/>
    <mergeCell ref="A29:C29"/>
    <mergeCell ref="H35:I35"/>
  </mergeCells>
  <phoneticPr fontId="0" type="noConversion"/>
  <printOptions horizontalCentered="1" verticalCentered="1" headings="1"/>
  <pageMargins left="0.23622047244094491" right="0.23622047244094491" top="0.74803149606299213" bottom="0.74803149606299213" header="0.31496062992125984" footer="0.31496062992125984"/>
  <pageSetup paperSize="8" scale="150" orientation="landscape" r:id="rId1"/>
  <headerFooter>
    <oddHeader>&amp;C&amp;"Arial,Gras"&amp;14PRÉPARATION RENTRÉE 2023</oddHeader>
    <oddFooter>&amp;L&amp;D &amp;T&amp;R&amp;"Arial,Gras"TABLEAU 1</oddFooter>
  </headerFooter>
  <ignoredErrors>
    <ignoredError sqref="R27" formulaRange="1"/>
    <ignoredError sqref="P22 P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"/>
  <sheetViews>
    <sheetView tabSelected="1" zoomScale="85" zoomScaleNormal="85" workbookViewId="0">
      <selection activeCell="R26" sqref="R26"/>
    </sheetView>
  </sheetViews>
  <sheetFormatPr baseColWidth="10" defaultColWidth="10.6640625" defaultRowHeight="13" x14ac:dyDescent="0.15"/>
  <cols>
    <col min="1" max="1" width="12.5" customWidth="1"/>
    <col min="2" max="2" width="21.5" customWidth="1"/>
    <col min="3" max="3" width="12" customWidth="1"/>
    <col min="4" max="4" width="13" customWidth="1"/>
    <col min="5" max="5" width="13.1640625" customWidth="1"/>
    <col min="7" max="7" width="11.33203125" customWidth="1"/>
    <col min="9" max="9" width="9.1640625" customWidth="1"/>
    <col min="11" max="11" width="7.5" customWidth="1"/>
    <col min="12" max="12" width="8" customWidth="1"/>
    <col min="13" max="13" width="9" customWidth="1"/>
    <col min="14" max="14" width="8" customWidth="1"/>
    <col min="15" max="15" width="8.6640625" customWidth="1"/>
    <col min="16" max="17" width="8" customWidth="1"/>
    <col min="18" max="18" width="9.83203125" customWidth="1"/>
    <col min="19" max="19" width="8.33203125" customWidth="1"/>
    <col min="20" max="20" width="14.33203125" style="91" customWidth="1"/>
    <col min="21" max="21" width="66.5" customWidth="1"/>
  </cols>
  <sheetData>
    <row r="1" spans="1:21" ht="31.5" customHeight="1" thickBot="1" x14ac:dyDescent="0.25">
      <c r="A1" s="7" t="s">
        <v>9</v>
      </c>
      <c r="B1" s="63">
        <f>Besoins!B1</f>
        <v>860</v>
      </c>
      <c r="C1" s="31" t="s">
        <v>66</v>
      </c>
      <c r="D1" s="63">
        <f>B1-B2</f>
        <v>797</v>
      </c>
      <c r="E1" s="1" t="s">
        <v>50</v>
      </c>
      <c r="F1" s="62">
        <f>Besoins!C2</f>
        <v>72</v>
      </c>
      <c r="K1" s="8"/>
      <c r="L1" s="8"/>
      <c r="M1" s="16" t="s">
        <v>22</v>
      </c>
      <c r="N1" s="154" t="s">
        <v>77</v>
      </c>
      <c r="O1" s="154"/>
      <c r="P1" s="154"/>
      <c r="Q1" s="29"/>
    </row>
    <row r="2" spans="1:21" ht="28.5" customHeight="1" thickBot="1" x14ac:dyDescent="0.25">
      <c r="A2" s="1" t="s">
        <v>64</v>
      </c>
      <c r="B2" s="64">
        <v>63</v>
      </c>
      <c r="C2" s="10" t="s">
        <v>54</v>
      </c>
      <c r="D2" s="65">
        <f>B1-S26</f>
        <v>10</v>
      </c>
      <c r="H2" s="2"/>
      <c r="I2" s="2"/>
      <c r="J2" s="8"/>
      <c r="K2" s="8"/>
      <c r="L2" s="8"/>
      <c r="M2" s="16"/>
      <c r="N2" s="16"/>
      <c r="O2" s="16"/>
      <c r="P2" s="29"/>
      <c r="Q2" s="29"/>
    </row>
    <row r="3" spans="1:21" ht="14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21" customHeight="1" thickBot="1" x14ac:dyDescent="0.25">
      <c r="A4" s="10" t="s">
        <v>47</v>
      </c>
      <c r="B4" s="60">
        <v>791.5</v>
      </c>
      <c r="C4" s="61" t="s">
        <v>65</v>
      </c>
      <c r="D4" s="59">
        <f>P26</f>
        <v>799</v>
      </c>
      <c r="L4" s="10"/>
      <c r="M4" s="2"/>
      <c r="N4" s="13"/>
      <c r="O4" s="28" t="s">
        <v>23</v>
      </c>
      <c r="P4" s="14">
        <v>7</v>
      </c>
      <c r="Q4" s="29"/>
    </row>
    <row r="5" spans="1:21" ht="19" thickBot="1" x14ac:dyDescent="0.25">
      <c r="A5" s="2"/>
      <c r="B5" s="9"/>
      <c r="C5" s="1"/>
      <c r="D5" s="9"/>
      <c r="E5" s="9"/>
      <c r="F5" s="2"/>
      <c r="G5" s="2"/>
      <c r="H5" s="28" t="s">
        <v>71</v>
      </c>
      <c r="I5" s="95">
        <f>B1-S26</f>
        <v>10</v>
      </c>
      <c r="J5" s="2"/>
      <c r="K5" s="12"/>
      <c r="L5" s="2"/>
      <c r="M5" s="2"/>
      <c r="N5" s="2"/>
      <c r="O5" s="28" t="s">
        <v>63</v>
      </c>
      <c r="P5" s="96">
        <f>P4-R26</f>
        <v>0</v>
      </c>
      <c r="Q5" s="29"/>
      <c r="U5" s="2"/>
    </row>
    <row r="6" spans="1:21" ht="14" thickBot="1" x14ac:dyDescent="0.2">
      <c r="A6" s="10" t="s">
        <v>24</v>
      </c>
      <c r="B6" s="26">
        <v>49.5</v>
      </c>
      <c r="C6" s="30" t="s">
        <v>60</v>
      </c>
      <c r="D6" s="26">
        <f>Q26</f>
        <v>44</v>
      </c>
      <c r="E6" s="74"/>
      <c r="F6" s="1"/>
      <c r="G6" s="153" t="s">
        <v>69</v>
      </c>
      <c r="H6" s="153"/>
      <c r="I6" s="90">
        <f>I5*36</f>
        <v>360</v>
      </c>
      <c r="J6" s="2"/>
      <c r="K6" s="12"/>
      <c r="L6" s="12"/>
      <c r="M6" s="12"/>
      <c r="N6" s="10"/>
      <c r="O6" s="11"/>
      <c r="P6" s="11"/>
      <c r="Q6" s="11"/>
      <c r="R6" s="13"/>
      <c r="S6" s="13"/>
      <c r="U6" s="2"/>
    </row>
    <row r="7" spans="1:21" ht="14" thickBot="1" x14ac:dyDescent="0.2">
      <c r="A7" s="28" t="s">
        <v>75</v>
      </c>
      <c r="B7" s="80">
        <f>(B6*100)/B1</f>
        <v>5.7558139534883717</v>
      </c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9"/>
      <c r="O7" s="2"/>
      <c r="P7" s="2"/>
      <c r="Q7" s="2"/>
      <c r="R7" s="2"/>
      <c r="S7" s="2"/>
      <c r="U7" s="2"/>
    </row>
    <row r="8" spans="1:21" ht="14" thickBot="1" x14ac:dyDescent="0.2">
      <c r="A8" s="10" t="s">
        <v>48</v>
      </c>
      <c r="B8" s="23">
        <f>Besoins!C5+Besoins!C10+Besoins!C15+Besoins!C20</f>
        <v>580</v>
      </c>
      <c r="C8" s="30" t="s">
        <v>52</v>
      </c>
      <c r="D8" s="23">
        <f>Besoins!C6+Besoins!C11+Besoins!C16+Besoins!C21</f>
        <v>24</v>
      </c>
      <c r="E8" s="30" t="s">
        <v>53</v>
      </c>
      <c r="F8" s="24">
        <f>B8/D8</f>
        <v>24.166666666666668</v>
      </c>
      <c r="G8" s="30" t="s">
        <v>61</v>
      </c>
      <c r="H8" s="24">
        <f>Besoins!C5/Besoins!C6</f>
        <v>25</v>
      </c>
      <c r="I8" s="155" t="s">
        <v>62</v>
      </c>
      <c r="J8" s="156"/>
      <c r="K8" s="24">
        <f>(Besoins!C10+Besoins!C15+Besoins!C20)/(Besoins!C11+Besoins!C16+Besoins!C21)</f>
        <v>23.94736842105263</v>
      </c>
      <c r="L8" s="2"/>
      <c r="M8" s="2"/>
      <c r="N8" s="9"/>
      <c r="O8" s="2"/>
      <c r="P8" s="2"/>
      <c r="Q8" s="2"/>
      <c r="R8" s="141"/>
      <c r="S8" s="141"/>
      <c r="T8" s="141"/>
      <c r="U8" s="15"/>
    </row>
    <row r="9" spans="1:21" ht="14" thickBot="1" x14ac:dyDescent="0.2">
      <c r="A9" s="2"/>
      <c r="B9" s="2"/>
      <c r="C9" s="2"/>
      <c r="D9" s="22"/>
      <c r="E9" s="2"/>
      <c r="F9" s="2"/>
      <c r="G9" s="2"/>
      <c r="H9" s="2"/>
      <c r="I9" s="2"/>
      <c r="J9" s="2"/>
      <c r="K9" s="2"/>
      <c r="L9" s="9"/>
      <c r="M9" s="9"/>
      <c r="N9" s="2"/>
      <c r="O9" s="2"/>
      <c r="P9" s="2"/>
      <c r="Q9" s="2"/>
    </row>
    <row r="10" spans="1:21" ht="30" customHeight="1" x14ac:dyDescent="0.15">
      <c r="A10" s="157" t="s">
        <v>25</v>
      </c>
      <c r="B10" s="158"/>
      <c r="C10" s="161" t="s">
        <v>80</v>
      </c>
      <c r="D10" s="147" t="s">
        <v>46</v>
      </c>
      <c r="E10" s="147" t="s">
        <v>45</v>
      </c>
      <c r="F10" s="147" t="s">
        <v>79</v>
      </c>
      <c r="G10" s="147" t="s">
        <v>59</v>
      </c>
      <c r="H10" s="146" t="s">
        <v>26</v>
      </c>
      <c r="I10" s="146"/>
      <c r="J10" s="146"/>
      <c r="K10" s="146"/>
      <c r="L10" s="146" t="s">
        <v>27</v>
      </c>
      <c r="M10" s="146"/>
      <c r="N10" s="146"/>
      <c r="O10" s="147" t="s">
        <v>44</v>
      </c>
      <c r="P10" s="147" t="s">
        <v>81</v>
      </c>
      <c r="Q10" s="139" t="s">
        <v>51</v>
      </c>
      <c r="R10" s="139" t="s">
        <v>72</v>
      </c>
      <c r="S10" s="144" t="s">
        <v>70</v>
      </c>
    </row>
    <row r="11" spans="1:21" ht="30" customHeight="1" x14ac:dyDescent="0.15">
      <c r="A11" s="159"/>
      <c r="B11" s="160"/>
      <c r="C11" s="162"/>
      <c r="D11" s="148"/>
      <c r="E11" s="148"/>
      <c r="F11" s="148"/>
      <c r="G11" s="148"/>
      <c r="H11" s="52" t="s">
        <v>28</v>
      </c>
      <c r="I11" s="52" t="s">
        <v>29</v>
      </c>
      <c r="J11" s="52" t="s">
        <v>30</v>
      </c>
      <c r="K11" s="52" t="s">
        <v>31</v>
      </c>
      <c r="L11" s="52" t="s">
        <v>32</v>
      </c>
      <c r="M11" s="52" t="s">
        <v>33</v>
      </c>
      <c r="N11" s="52" t="s">
        <v>34</v>
      </c>
      <c r="O11" s="148"/>
      <c r="P11" s="148"/>
      <c r="Q11" s="140"/>
      <c r="R11" s="140"/>
      <c r="S11" s="145"/>
    </row>
    <row r="12" spans="1:21" ht="30" customHeight="1" x14ac:dyDescent="0.15">
      <c r="A12" s="163" t="s">
        <v>67</v>
      </c>
      <c r="B12" s="164"/>
      <c r="C12" s="51">
        <v>63</v>
      </c>
      <c r="D12" s="17">
        <v>3</v>
      </c>
      <c r="E12" s="17">
        <v>0</v>
      </c>
      <c r="F12" s="17">
        <f>(D12*21)</f>
        <v>63</v>
      </c>
      <c r="G12" s="35">
        <f>F12-C12</f>
        <v>0</v>
      </c>
      <c r="H12" s="25"/>
      <c r="I12" s="25"/>
      <c r="J12" s="25"/>
      <c r="K12" s="25"/>
      <c r="L12" s="25"/>
      <c r="M12" s="25"/>
      <c r="N12" s="25"/>
      <c r="O12" s="34"/>
      <c r="P12" s="53">
        <f t="shared" ref="P12:P25" si="0">F12-H12-I12-J12-K12+L12+M12+N12+O12</f>
        <v>63</v>
      </c>
      <c r="Q12" s="69">
        <f>C12-P12</f>
        <v>0</v>
      </c>
      <c r="R12" s="93"/>
      <c r="S12" s="58">
        <f t="shared" ref="S12:S24" si="1">SUM(P12:R12)</f>
        <v>63</v>
      </c>
    </row>
    <row r="13" spans="1:21" ht="30" customHeight="1" x14ac:dyDescent="0.15">
      <c r="A13" s="142" t="s">
        <v>78</v>
      </c>
      <c r="B13" s="143"/>
      <c r="C13" s="51">
        <f>Besoins!H30</f>
        <v>147.5</v>
      </c>
      <c r="D13" s="17">
        <v>7</v>
      </c>
      <c r="E13" s="17">
        <v>1</v>
      </c>
      <c r="F13" s="17">
        <f t="shared" ref="F13:F24" si="2">(D13*18)+(15*E13)</f>
        <v>141</v>
      </c>
      <c r="G13" s="35">
        <f t="shared" ref="G13:G25" si="3">F13-C13</f>
        <v>-6.5</v>
      </c>
      <c r="H13" s="17"/>
      <c r="I13" s="17">
        <v>1.5</v>
      </c>
      <c r="J13" s="17"/>
      <c r="K13" s="17"/>
      <c r="L13" s="17"/>
      <c r="M13" s="17"/>
      <c r="N13" s="17"/>
      <c r="O13" s="17"/>
      <c r="P13" s="53">
        <f>F13-H13-I13-J13-K13+L13+M13+N13+O13</f>
        <v>139.5</v>
      </c>
      <c r="Q13" s="69">
        <f t="shared" ref="Q13:Q25" si="4">C13-P13</f>
        <v>8</v>
      </c>
      <c r="R13" s="93">
        <v>1</v>
      </c>
      <c r="S13" s="58">
        <f t="shared" si="1"/>
        <v>148.5</v>
      </c>
    </row>
    <row r="14" spans="1:21" ht="30" customHeight="1" x14ac:dyDescent="0.15">
      <c r="A14" s="149" t="s">
        <v>35</v>
      </c>
      <c r="B14" s="150"/>
      <c r="C14" s="51">
        <f>Besoins!N29</f>
        <v>22</v>
      </c>
      <c r="D14" s="17">
        <v>1</v>
      </c>
      <c r="E14" s="17">
        <v>0</v>
      </c>
      <c r="F14" s="17">
        <f t="shared" si="2"/>
        <v>18</v>
      </c>
      <c r="G14" s="35">
        <f t="shared" si="3"/>
        <v>-4</v>
      </c>
      <c r="H14" s="17"/>
      <c r="I14" s="17">
        <v>3</v>
      </c>
      <c r="J14" s="17"/>
      <c r="K14" s="17"/>
      <c r="L14" s="17"/>
      <c r="M14" s="17">
        <v>7</v>
      </c>
      <c r="N14" s="17"/>
      <c r="O14" s="18"/>
      <c r="P14" s="53">
        <f>F14-H14-I14-J14-K14+L14+M14+N14+O14</f>
        <v>22</v>
      </c>
      <c r="Q14" s="69">
        <f t="shared" si="4"/>
        <v>0</v>
      </c>
      <c r="R14" s="93"/>
      <c r="S14" s="58">
        <f t="shared" si="1"/>
        <v>22</v>
      </c>
    </row>
    <row r="15" spans="1:21" ht="30" customHeight="1" x14ac:dyDescent="0.15">
      <c r="A15" s="149" t="s">
        <v>36</v>
      </c>
      <c r="B15" s="150"/>
      <c r="C15" s="51">
        <f>Besoins!M29</f>
        <v>82.5</v>
      </c>
      <c r="D15" s="17">
        <v>4</v>
      </c>
      <c r="E15" s="17">
        <v>0</v>
      </c>
      <c r="F15" s="17">
        <f t="shared" si="2"/>
        <v>72</v>
      </c>
      <c r="G15" s="35">
        <f t="shared" si="3"/>
        <v>-10.5</v>
      </c>
      <c r="H15" s="17"/>
      <c r="I15" s="17"/>
      <c r="J15" s="17"/>
      <c r="K15" s="17"/>
      <c r="L15" s="17"/>
      <c r="M15" s="17">
        <v>6</v>
      </c>
      <c r="N15" s="17"/>
      <c r="O15" s="17"/>
      <c r="P15" s="53">
        <f t="shared" si="0"/>
        <v>78</v>
      </c>
      <c r="Q15" s="69">
        <f t="shared" si="4"/>
        <v>4.5</v>
      </c>
      <c r="R15" s="93">
        <v>1</v>
      </c>
      <c r="S15" s="58">
        <f t="shared" si="1"/>
        <v>83.5</v>
      </c>
    </row>
    <row r="16" spans="1:21" ht="30" customHeight="1" x14ac:dyDescent="0.15">
      <c r="A16" s="142" t="s">
        <v>74</v>
      </c>
      <c r="B16" s="143"/>
      <c r="C16" s="51">
        <f>Besoins!P29</f>
        <v>30</v>
      </c>
      <c r="D16" s="17">
        <v>1</v>
      </c>
      <c r="E16" s="17">
        <v>0</v>
      </c>
      <c r="F16" s="17">
        <f t="shared" si="2"/>
        <v>18</v>
      </c>
      <c r="G16" s="35">
        <f t="shared" si="3"/>
        <v>-12</v>
      </c>
      <c r="H16" s="17"/>
      <c r="I16" s="17"/>
      <c r="J16" s="17"/>
      <c r="K16" s="17"/>
      <c r="L16" s="17"/>
      <c r="M16" s="17">
        <v>10</v>
      </c>
      <c r="N16" s="17"/>
      <c r="O16" s="17"/>
      <c r="P16" s="53">
        <f t="shared" si="0"/>
        <v>28</v>
      </c>
      <c r="Q16" s="69">
        <f t="shared" si="4"/>
        <v>2</v>
      </c>
      <c r="R16" s="93"/>
      <c r="S16" s="58">
        <f t="shared" si="1"/>
        <v>30</v>
      </c>
    </row>
    <row r="17" spans="1:20" ht="30" customHeight="1" x14ac:dyDescent="0.15">
      <c r="A17" s="149" t="s">
        <v>37</v>
      </c>
      <c r="B17" s="150"/>
      <c r="C17" s="51">
        <f>Besoins!O29</f>
        <v>12.5</v>
      </c>
      <c r="D17" s="17">
        <v>0</v>
      </c>
      <c r="E17" s="17">
        <v>0</v>
      </c>
      <c r="F17" s="17">
        <f t="shared" si="2"/>
        <v>0</v>
      </c>
      <c r="G17" s="35">
        <f t="shared" si="3"/>
        <v>-12.5</v>
      </c>
      <c r="H17" s="17"/>
      <c r="I17" s="17"/>
      <c r="J17" s="17"/>
      <c r="K17" s="17"/>
      <c r="L17" s="17"/>
      <c r="M17" s="17">
        <v>12.5</v>
      </c>
      <c r="N17" s="17"/>
      <c r="O17" s="17"/>
      <c r="P17" s="53">
        <f t="shared" si="0"/>
        <v>12.5</v>
      </c>
      <c r="Q17" s="69">
        <f t="shared" si="4"/>
        <v>0</v>
      </c>
      <c r="R17" s="93"/>
      <c r="S17" s="58">
        <f t="shared" si="1"/>
        <v>12.5</v>
      </c>
    </row>
    <row r="18" spans="1:20" ht="30" customHeight="1" x14ac:dyDescent="0.15">
      <c r="A18" s="149" t="s">
        <v>58</v>
      </c>
      <c r="B18" s="150"/>
      <c r="C18" s="51">
        <f>Besoins!G29</f>
        <v>86.5</v>
      </c>
      <c r="D18" s="17">
        <v>4</v>
      </c>
      <c r="E18" s="17">
        <v>0</v>
      </c>
      <c r="F18" s="17">
        <f t="shared" si="2"/>
        <v>72</v>
      </c>
      <c r="G18" s="35">
        <f t="shared" si="3"/>
        <v>-14.5</v>
      </c>
      <c r="H18" s="17"/>
      <c r="I18" s="17">
        <v>2</v>
      </c>
      <c r="J18" s="17"/>
      <c r="K18" s="17"/>
      <c r="L18" s="17"/>
      <c r="M18" s="17">
        <v>11</v>
      </c>
      <c r="N18" s="17"/>
      <c r="O18" s="17"/>
      <c r="P18" s="53">
        <f t="shared" si="0"/>
        <v>81</v>
      </c>
      <c r="Q18" s="69">
        <f t="shared" si="4"/>
        <v>5.5</v>
      </c>
      <c r="R18" s="93"/>
      <c r="S18" s="58">
        <f t="shared" si="1"/>
        <v>86.5</v>
      </c>
    </row>
    <row r="19" spans="1:20" ht="30" customHeight="1" x14ac:dyDescent="0.15">
      <c r="A19" s="149" t="s">
        <v>38</v>
      </c>
      <c r="B19" s="150"/>
      <c r="C19" s="51">
        <f>Besoins!D29</f>
        <v>110</v>
      </c>
      <c r="D19" s="17">
        <v>4</v>
      </c>
      <c r="E19" s="17">
        <v>2</v>
      </c>
      <c r="F19" s="17">
        <f t="shared" si="2"/>
        <v>102</v>
      </c>
      <c r="G19" s="35">
        <f t="shared" si="3"/>
        <v>-8</v>
      </c>
      <c r="H19" s="17"/>
      <c r="I19" s="17">
        <v>1.5</v>
      </c>
      <c r="J19" s="17"/>
      <c r="K19" s="17"/>
      <c r="L19" s="17"/>
      <c r="M19" s="17"/>
      <c r="N19" s="17"/>
      <c r="O19" s="17"/>
      <c r="P19" s="53">
        <f t="shared" si="0"/>
        <v>100.5</v>
      </c>
      <c r="Q19" s="69">
        <f t="shared" si="4"/>
        <v>9.5</v>
      </c>
      <c r="R19" s="93"/>
      <c r="S19" s="58">
        <f t="shared" si="1"/>
        <v>110</v>
      </c>
    </row>
    <row r="20" spans="1:20" ht="30" customHeight="1" x14ac:dyDescent="0.15">
      <c r="A20" s="149" t="s">
        <v>39</v>
      </c>
      <c r="B20" s="150"/>
      <c r="C20" s="51">
        <f>Besoins!L29</f>
        <v>39</v>
      </c>
      <c r="D20" s="17">
        <v>2</v>
      </c>
      <c r="E20" s="17">
        <v>0</v>
      </c>
      <c r="F20" s="17">
        <f t="shared" si="2"/>
        <v>36</v>
      </c>
      <c r="G20" s="35">
        <f t="shared" si="3"/>
        <v>-3</v>
      </c>
      <c r="H20" s="17"/>
      <c r="I20" s="17"/>
      <c r="J20" s="17"/>
      <c r="K20" s="17"/>
      <c r="L20" s="17"/>
      <c r="M20" s="17"/>
      <c r="N20" s="17"/>
      <c r="O20" s="17"/>
      <c r="P20" s="53">
        <f t="shared" si="0"/>
        <v>36</v>
      </c>
      <c r="Q20" s="69">
        <f t="shared" si="4"/>
        <v>3</v>
      </c>
      <c r="R20" s="93">
        <v>2</v>
      </c>
      <c r="S20" s="58">
        <f t="shared" si="1"/>
        <v>41</v>
      </c>
    </row>
    <row r="21" spans="1:20" ht="30" customHeight="1" x14ac:dyDescent="0.15">
      <c r="A21" s="149" t="s">
        <v>40</v>
      </c>
      <c r="B21" s="150"/>
      <c r="C21" s="51">
        <f>Besoins!E29</f>
        <v>44</v>
      </c>
      <c r="D21" s="17">
        <v>2</v>
      </c>
      <c r="E21" s="17">
        <v>0</v>
      </c>
      <c r="F21" s="17">
        <f t="shared" si="2"/>
        <v>36</v>
      </c>
      <c r="G21" s="35">
        <f t="shared" si="3"/>
        <v>-8</v>
      </c>
      <c r="H21" s="17"/>
      <c r="I21" s="17"/>
      <c r="J21" s="17"/>
      <c r="K21" s="17"/>
      <c r="L21" s="17"/>
      <c r="M21" s="17">
        <v>6.5</v>
      </c>
      <c r="N21" s="17"/>
      <c r="O21" s="17"/>
      <c r="P21" s="53">
        <f t="shared" si="0"/>
        <v>42.5</v>
      </c>
      <c r="Q21" s="69">
        <f t="shared" si="4"/>
        <v>1.5</v>
      </c>
      <c r="R21" s="93">
        <v>0.5</v>
      </c>
      <c r="S21" s="58">
        <f t="shared" si="1"/>
        <v>44.5</v>
      </c>
    </row>
    <row r="22" spans="1:20" ht="30" customHeight="1" x14ac:dyDescent="0.15">
      <c r="A22" s="149" t="s">
        <v>57</v>
      </c>
      <c r="B22" s="150"/>
      <c r="C22" s="51">
        <f>Besoins!F29</f>
        <v>55</v>
      </c>
      <c r="D22" s="17">
        <v>3</v>
      </c>
      <c r="E22" s="17">
        <v>0</v>
      </c>
      <c r="F22" s="17">
        <f t="shared" si="2"/>
        <v>54</v>
      </c>
      <c r="G22" s="35">
        <f t="shared" si="3"/>
        <v>-1</v>
      </c>
      <c r="H22" s="17"/>
      <c r="I22" s="17"/>
      <c r="J22" s="17"/>
      <c r="K22" s="17"/>
      <c r="L22" s="17"/>
      <c r="M22" s="17"/>
      <c r="N22" s="17"/>
      <c r="O22" s="17"/>
      <c r="P22" s="53">
        <f t="shared" si="0"/>
        <v>54</v>
      </c>
      <c r="Q22" s="69">
        <f t="shared" si="4"/>
        <v>1</v>
      </c>
      <c r="R22" s="93">
        <v>0.5</v>
      </c>
      <c r="S22" s="58">
        <f t="shared" si="1"/>
        <v>55.5</v>
      </c>
    </row>
    <row r="23" spans="1:20" ht="30" customHeight="1" x14ac:dyDescent="0.15">
      <c r="A23" s="149" t="s">
        <v>41</v>
      </c>
      <c r="B23" s="150"/>
      <c r="C23" s="51">
        <f>Besoins!J29</f>
        <v>26.5</v>
      </c>
      <c r="D23" s="17">
        <v>1</v>
      </c>
      <c r="E23" s="17">
        <v>0</v>
      </c>
      <c r="F23" s="17">
        <f t="shared" si="2"/>
        <v>18</v>
      </c>
      <c r="G23" s="35">
        <f t="shared" si="3"/>
        <v>-8.5</v>
      </c>
      <c r="H23" s="17"/>
      <c r="I23" s="17"/>
      <c r="J23" s="17"/>
      <c r="K23" s="17"/>
      <c r="L23" s="17"/>
      <c r="M23" s="17">
        <v>6</v>
      </c>
      <c r="N23" s="17"/>
      <c r="O23" s="17"/>
      <c r="P23" s="53">
        <f t="shared" si="0"/>
        <v>24</v>
      </c>
      <c r="Q23" s="69">
        <f t="shared" si="4"/>
        <v>2.5</v>
      </c>
      <c r="R23" s="93"/>
      <c r="S23" s="58">
        <f t="shared" si="1"/>
        <v>26.5</v>
      </c>
    </row>
    <row r="24" spans="1:20" ht="30" customHeight="1" x14ac:dyDescent="0.15">
      <c r="A24" s="149" t="s">
        <v>42</v>
      </c>
      <c r="B24" s="150"/>
      <c r="C24" s="51">
        <f>Besoins!K29</f>
        <v>24.5</v>
      </c>
      <c r="D24" s="17">
        <v>1</v>
      </c>
      <c r="E24" s="17">
        <v>0</v>
      </c>
      <c r="F24" s="17">
        <f t="shared" si="2"/>
        <v>18</v>
      </c>
      <c r="G24" s="35">
        <f t="shared" si="3"/>
        <v>-6.5</v>
      </c>
      <c r="H24" s="17"/>
      <c r="I24" s="17"/>
      <c r="J24" s="17"/>
      <c r="K24" s="17"/>
      <c r="L24" s="17"/>
      <c r="M24" s="17"/>
      <c r="N24" s="17"/>
      <c r="O24" s="17"/>
      <c r="P24" s="53">
        <f t="shared" si="0"/>
        <v>18</v>
      </c>
      <c r="Q24" s="69">
        <f t="shared" si="4"/>
        <v>6.5</v>
      </c>
      <c r="R24" s="93"/>
      <c r="S24" s="58">
        <f t="shared" si="1"/>
        <v>24.5</v>
      </c>
    </row>
    <row r="25" spans="1:20" ht="30" customHeight="1" thickBot="1" x14ac:dyDescent="0.2">
      <c r="A25" s="149" t="s">
        <v>56</v>
      </c>
      <c r="B25" s="150"/>
      <c r="C25" s="51">
        <f>Besoins!Q29</f>
        <v>100</v>
      </c>
      <c r="D25" s="17">
        <v>5</v>
      </c>
      <c r="E25" s="17">
        <v>0</v>
      </c>
      <c r="F25" s="17">
        <f>(D25*20)+(15*E25)</f>
        <v>100</v>
      </c>
      <c r="G25" s="35">
        <f t="shared" si="3"/>
        <v>0</v>
      </c>
      <c r="H25" s="17"/>
      <c r="I25" s="17"/>
      <c r="J25" s="17"/>
      <c r="K25" s="17"/>
      <c r="L25" s="17"/>
      <c r="M25" s="17"/>
      <c r="N25" s="17"/>
      <c r="O25" s="17"/>
      <c r="P25" s="53">
        <f t="shared" si="0"/>
        <v>100</v>
      </c>
      <c r="Q25" s="69">
        <f t="shared" si="4"/>
        <v>0</v>
      </c>
      <c r="R25" s="93">
        <v>2</v>
      </c>
      <c r="S25" s="97">
        <f>SUM(P25:R25)</f>
        <v>102</v>
      </c>
    </row>
    <row r="26" spans="1:20" ht="30" customHeight="1" thickBot="1" x14ac:dyDescent="0.2">
      <c r="A26" s="151" t="s">
        <v>43</v>
      </c>
      <c r="B26" s="152"/>
      <c r="C26" s="100">
        <f>SUM(C12:C25)</f>
        <v>843</v>
      </c>
      <c r="D26" s="101">
        <f>SUM(D12:D25)</f>
        <v>38</v>
      </c>
      <c r="E26" s="101">
        <f>SUM(E12:E25)</f>
        <v>3</v>
      </c>
      <c r="F26" s="101">
        <f>SUM(F12:F25)</f>
        <v>748</v>
      </c>
      <c r="G26" s="101">
        <f>F26-C26</f>
        <v>-95</v>
      </c>
      <c r="H26" s="101">
        <f t="shared" ref="H26:O26" si="5">SUM(H13:H25)</f>
        <v>0</v>
      </c>
      <c r="I26" s="101">
        <f t="shared" si="5"/>
        <v>8</v>
      </c>
      <c r="J26" s="101">
        <f t="shared" si="5"/>
        <v>0</v>
      </c>
      <c r="K26" s="101">
        <f t="shared" si="5"/>
        <v>0</v>
      </c>
      <c r="L26" s="101">
        <f t="shared" si="5"/>
        <v>0</v>
      </c>
      <c r="M26" s="101">
        <f t="shared" si="5"/>
        <v>59</v>
      </c>
      <c r="N26" s="101">
        <f t="shared" si="5"/>
        <v>0</v>
      </c>
      <c r="O26" s="101">
        <f t="shared" si="5"/>
        <v>0</v>
      </c>
      <c r="P26" s="98">
        <f>SUM(P12:P25)</f>
        <v>799</v>
      </c>
      <c r="Q26" s="70">
        <f>SUM(Q12:Q25)</f>
        <v>44</v>
      </c>
      <c r="R26" s="94">
        <f>SUM(R12:R25)</f>
        <v>7</v>
      </c>
      <c r="S26" s="99">
        <f>SUM(P26:R26)</f>
        <v>850</v>
      </c>
    </row>
    <row r="27" spans="1:20" ht="14" x14ac:dyDescent="0.15">
      <c r="A27" s="19"/>
      <c r="B27" s="2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/>
      <c r="S27" s="21"/>
      <c r="T27" s="92"/>
    </row>
  </sheetData>
  <mergeCells count="32">
    <mergeCell ref="G6:H6"/>
    <mergeCell ref="N1:P1"/>
    <mergeCell ref="I8:J8"/>
    <mergeCell ref="A15:B15"/>
    <mergeCell ref="D10:D11"/>
    <mergeCell ref="A10:B11"/>
    <mergeCell ref="C10:C11"/>
    <mergeCell ref="A12:B12"/>
    <mergeCell ref="A26:B2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R10:R11"/>
    <mergeCell ref="R8:T8"/>
    <mergeCell ref="A16:B16"/>
    <mergeCell ref="S10:S11"/>
    <mergeCell ref="H10:K10"/>
    <mergeCell ref="F10:F11"/>
    <mergeCell ref="Q10:Q11"/>
    <mergeCell ref="G10:G11"/>
    <mergeCell ref="P10:P11"/>
    <mergeCell ref="O10:O11"/>
    <mergeCell ref="E10:E11"/>
    <mergeCell ref="A14:B14"/>
    <mergeCell ref="A13:B13"/>
    <mergeCell ref="L10:N10"/>
  </mergeCells>
  <conditionalFormatting sqref="B2">
    <cfRule type="cellIs" dxfId="7" priority="32" operator="lessThan">
      <formula>0</formula>
    </cfRule>
    <cfRule type="cellIs" dxfId="6" priority="31" operator="lessThan">
      <formula>0</formula>
    </cfRule>
  </conditionalFormatting>
  <conditionalFormatting sqref="D2">
    <cfRule type="cellIs" dxfId="5" priority="33" operator="lessThan">
      <formula>0</formula>
    </cfRule>
  </conditionalFormatting>
  <conditionalFormatting sqref="D6">
    <cfRule type="cellIs" dxfId="4" priority="13" operator="greaterThan">
      <formula>$B$6</formula>
    </cfRule>
    <cfRule type="cellIs" dxfId="3" priority="11" operator="lessThanOrEqual">
      <formula>$B$6</formula>
    </cfRule>
    <cfRule type="cellIs" dxfId="2" priority="36" operator="greaterThan">
      <formula>$B$6</formula>
    </cfRule>
  </conditionalFormatting>
  <conditionalFormatting sqref="G12:G25">
    <cfRule type="cellIs" dxfId="1" priority="42" operator="greaterThan">
      <formula>0</formula>
    </cfRule>
  </conditionalFormatting>
  <conditionalFormatting sqref="R12:R16 Q12:Q25 R18:R25">
    <cfRule type="cellIs" dxfId="0" priority="44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Besoins</vt:lpstr>
      <vt:lpstr>TRMD</vt:lpstr>
      <vt:lpstr>Besoins!Zone_d_impression</vt:lpstr>
      <vt:lpstr>TRMD!Zone_d_impression</vt:lpstr>
    </vt:vector>
  </TitlesOfParts>
  <Company>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répartition de DHG</dc:title>
  <dc:creator>Vincent-Yves Absous</dc:creator>
  <cp:lastModifiedBy>Vincent Absous</cp:lastModifiedBy>
  <cp:lastPrinted>2023-07-04T07:14:46Z</cp:lastPrinted>
  <dcterms:created xsi:type="dcterms:W3CDTF">2004-01-16T20:12:44Z</dcterms:created>
  <dcterms:modified xsi:type="dcterms:W3CDTF">2023-12-11T16:24:07Z</dcterms:modified>
</cp:coreProperties>
</file>